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https://d.docs.live.net/7141856ef55bbf93/Documentos/EMDAS/CONTROL INTERNO/SEMESTRALES/"/>
    </mc:Choice>
  </mc:AlternateContent>
  <xr:revisionPtr revIDLastSave="0" documentId="8_{2506A91D-3683-43E1-9748-005224BF15FE}" xr6:coauthVersionLast="47" xr6:coauthVersionMax="47" xr10:uidLastSave="{00000000-0000-0000-0000-000000000000}"/>
  <bookViews>
    <workbookView xWindow="-120" yWindow="-120" windowWidth="20730" windowHeight="11040" activeTab="2" xr2:uid="{00000000-000D-0000-FFFF-FFFF00000000}"/>
  </bookViews>
  <sheets>
    <sheet name="Instructivo" sheetId="2" r:id="rId1"/>
    <sheet name="Estado SCI" sheetId="1" r:id="rId2"/>
    <sheet name="Análisis Resultados" sheetId="3" r:id="rId3"/>
    <sheet name="Conclusión" sheetId="5" r:id="rId4"/>
    <sheet name="Hoja1" sheetId="6" state="hidden" r:id="rId5"/>
  </sheets>
  <externalReferences>
    <externalReference r:id="rId6"/>
  </externalReferences>
  <definedNames>
    <definedName name="_xlnm._FilterDatabase" localSheetId="4" hidden="1">Hoja1!$A$1:$K$45</definedName>
    <definedName name="_xlnm.Print_Area" localSheetId="2">'Análisis Resultados'!$A$1:$J$63</definedName>
    <definedName name="_xlnm.Print_Area" localSheetId="3">Conclusión!$A$1:$M$36</definedName>
    <definedName name="_xlnm.Print_Area" localSheetId="1">'Estado SCI'!$A$1:$I$59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9" i="1" l="1"/>
  <c r="J58" i="1"/>
  <c r="J57" i="1"/>
  <c r="J56" i="1"/>
  <c r="J55" i="1"/>
  <c r="J54" i="1"/>
  <c r="J53" i="1"/>
  <c r="J52" i="1"/>
  <c r="J51" i="1"/>
  <c r="J5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A59" i="1" l="1"/>
  <c r="A58" i="1"/>
  <c r="A57" i="1"/>
  <c r="A56" i="1"/>
  <c r="A55" i="1"/>
  <c r="A54" i="1"/>
  <c r="A53" i="1"/>
  <c r="A52" i="1"/>
  <c r="A51" i="1"/>
  <c r="A50" i="1"/>
  <c r="A49" i="1"/>
  <c r="A48" i="1"/>
  <c r="A47" i="1"/>
  <c r="A46" i="1"/>
  <c r="A45" i="1"/>
  <c r="A44" i="1"/>
  <c r="A43" i="1"/>
  <c r="A42" i="1"/>
  <c r="A41" i="1"/>
  <c r="A40" i="1"/>
  <c r="A39" i="1"/>
  <c r="J37" i="1"/>
  <c r="L37" i="1" s="1"/>
  <c r="J36" i="1"/>
  <c r="L36" i="1" s="1"/>
  <c r="J35" i="1"/>
  <c r="L35" i="1" s="1"/>
  <c r="J34" i="1"/>
  <c r="L34" i="1" s="1"/>
  <c r="J33" i="1"/>
  <c r="L33" i="1" s="1"/>
  <c r="J32" i="1"/>
  <c r="L32" i="1" s="1"/>
  <c r="A38" i="1"/>
  <c r="A37" i="1"/>
  <c r="A36" i="1"/>
  <c r="A35" i="1"/>
  <c r="A34" i="1"/>
  <c r="A33" i="1"/>
  <c r="A32" i="1"/>
  <c r="L59" i="1"/>
  <c r="L58" i="1"/>
  <c r="L57" i="1"/>
  <c r="L56" i="1"/>
  <c r="L55" i="1"/>
  <c r="L54" i="1"/>
  <c r="L53" i="1"/>
  <c r="L52" i="1"/>
  <c r="L51" i="1"/>
  <c r="L50" i="1"/>
  <c r="J49" i="1"/>
  <c r="L49" i="1" s="1"/>
  <c r="J48" i="1"/>
  <c r="L48" i="1" s="1"/>
  <c r="J47" i="1"/>
  <c r="L47" i="1" s="1"/>
  <c r="J46" i="1"/>
  <c r="L46" i="1" s="1"/>
  <c r="J45" i="1"/>
  <c r="L45" i="1" s="1"/>
  <c r="J44" i="1"/>
  <c r="L44" i="1" s="1"/>
  <c r="J43" i="1"/>
  <c r="L43" i="1" s="1"/>
  <c r="J42" i="1"/>
  <c r="L42" i="1" s="1"/>
  <c r="J41" i="1"/>
  <c r="L41" i="1" s="1"/>
  <c r="J40" i="1"/>
  <c r="L40" i="1" s="1"/>
  <c r="J39" i="1"/>
  <c r="L39" i="1" s="1"/>
  <c r="J38" i="1"/>
  <c r="L38" i="1" s="1"/>
  <c r="J31" i="1"/>
  <c r="L31" i="1" s="1"/>
  <c r="J30" i="1"/>
  <c r="L30" i="1" s="1"/>
  <c r="J29" i="1"/>
  <c r="L29" i="1" s="1"/>
  <c r="J28" i="1"/>
  <c r="L28" i="1" s="1"/>
  <c r="J27" i="1"/>
  <c r="L27" i="1" s="1"/>
  <c r="J26" i="1"/>
  <c r="L26" i="1" s="1"/>
  <c r="J25" i="1"/>
  <c r="L25" i="1" s="1"/>
  <c r="J24" i="1"/>
  <c r="L24" i="1" s="1"/>
  <c r="J23" i="1"/>
  <c r="L23" i="1" s="1"/>
  <c r="J22" i="1"/>
  <c r="L22" i="1" s="1"/>
  <c r="J21" i="1"/>
  <c r="L21" i="1" s="1"/>
  <c r="J20" i="1"/>
  <c r="L20" i="1" s="1"/>
  <c r="J19" i="1"/>
  <c r="L19" i="1" s="1"/>
  <c r="J18" i="1"/>
  <c r="L18" i="1" s="1"/>
  <c r="J17" i="1"/>
  <c r="L17" i="1" s="1"/>
  <c r="J16" i="1"/>
  <c r="L16" i="1" s="1"/>
  <c r="A31" i="1" l="1"/>
  <c r="A30" i="1"/>
  <c r="A29" i="1"/>
  <c r="A28" i="1"/>
  <c r="A27" i="1"/>
  <c r="A26" i="1"/>
  <c r="A25" i="1"/>
  <c r="A24" i="1"/>
  <c r="A23" i="1"/>
  <c r="A22" i="1"/>
  <c r="A21" i="1"/>
  <c r="A20" i="1"/>
  <c r="A19" i="1"/>
  <c r="A18" i="1"/>
  <c r="A17" i="1"/>
  <c r="A16" i="1"/>
  <c r="I3" i="6" l="1"/>
  <c r="J3" i="6" s="1"/>
  <c r="I11" i="6"/>
  <c r="J11" i="6" s="1"/>
  <c r="I19" i="6"/>
  <c r="J19" i="6" s="1"/>
  <c r="I25" i="6"/>
  <c r="J25" i="6" s="1"/>
  <c r="I33" i="6"/>
  <c r="J33" i="6" s="1"/>
  <c r="I41" i="6"/>
  <c r="J41" i="6" s="1"/>
  <c r="B29" i="6"/>
  <c r="I4" i="6"/>
  <c r="J4" i="6" s="1"/>
  <c r="I12" i="6"/>
  <c r="J12" i="6" s="1"/>
  <c r="I20" i="6"/>
  <c r="J20" i="6" s="1"/>
  <c r="I26" i="6"/>
  <c r="J26" i="6" s="1"/>
  <c r="I34" i="6"/>
  <c r="J34" i="6" s="1"/>
  <c r="I42" i="6"/>
  <c r="J42" i="6" s="1"/>
  <c r="B36" i="6"/>
  <c r="I5" i="6"/>
  <c r="J5" i="6" s="1"/>
  <c r="I13" i="6"/>
  <c r="J13" i="6" s="1"/>
  <c r="I27" i="6"/>
  <c r="J27" i="6" s="1"/>
  <c r="I35" i="6"/>
  <c r="J35" i="6" s="1"/>
  <c r="I43" i="6"/>
  <c r="J43" i="6" s="1"/>
  <c r="B2" i="6"/>
  <c r="I6" i="6"/>
  <c r="J6" i="6" s="1"/>
  <c r="I14" i="6"/>
  <c r="J14" i="6" s="1"/>
  <c r="I21" i="6"/>
  <c r="J21" i="6" s="1"/>
  <c r="I28" i="6"/>
  <c r="J28" i="6" s="1"/>
  <c r="I36" i="6"/>
  <c r="J36" i="6" s="1"/>
  <c r="I44" i="6"/>
  <c r="J44" i="6" s="1"/>
  <c r="I7" i="6"/>
  <c r="J7" i="6" s="1"/>
  <c r="I15" i="6"/>
  <c r="J15" i="6" s="1"/>
  <c r="I22" i="6"/>
  <c r="J22" i="6" s="1"/>
  <c r="I29" i="6"/>
  <c r="J29" i="6" s="1"/>
  <c r="I37" i="6"/>
  <c r="J37" i="6" s="1"/>
  <c r="I45" i="6"/>
  <c r="J45" i="6" s="1"/>
  <c r="I8" i="6"/>
  <c r="J8" i="6" s="1"/>
  <c r="I16" i="6"/>
  <c r="J16" i="6" s="1"/>
  <c r="I23" i="6"/>
  <c r="J23" i="6" s="1"/>
  <c r="I30" i="6"/>
  <c r="J30" i="6" s="1"/>
  <c r="I38" i="6"/>
  <c r="J38" i="6" s="1"/>
  <c r="I2" i="6"/>
  <c r="J2" i="6" s="1"/>
  <c r="I9" i="6"/>
  <c r="J9" i="6" s="1"/>
  <c r="I17" i="6"/>
  <c r="J17" i="6" s="1"/>
  <c r="I31" i="6"/>
  <c r="J31" i="6" s="1"/>
  <c r="I39" i="6"/>
  <c r="J39" i="6" s="1"/>
  <c r="B14" i="6"/>
  <c r="I10" i="6"/>
  <c r="J10" i="6" s="1"/>
  <c r="I18" i="6"/>
  <c r="J18" i="6" s="1"/>
  <c r="I24" i="6"/>
  <c r="J24" i="6" s="1"/>
  <c r="I32" i="6"/>
  <c r="J32" i="6" s="1"/>
  <c r="I40" i="6"/>
  <c r="J40" i="6" s="1"/>
  <c r="B24" i="6"/>
  <c r="G41" i="6"/>
  <c r="G40" i="6"/>
  <c r="G32" i="6"/>
  <c r="G24" i="6"/>
  <c r="G18" i="6"/>
  <c r="G10" i="6"/>
  <c r="G2" i="6"/>
  <c r="F10" i="6"/>
  <c r="F18" i="6"/>
  <c r="F24" i="6"/>
  <c r="F32" i="6"/>
  <c r="F40" i="6"/>
  <c r="G29" i="6"/>
  <c r="G7" i="6"/>
  <c r="F27" i="6"/>
  <c r="G28" i="6"/>
  <c r="G14" i="6"/>
  <c r="F14" i="6"/>
  <c r="F36" i="6"/>
  <c r="G27" i="6"/>
  <c r="G5" i="6"/>
  <c r="F22" i="6"/>
  <c r="F45" i="6"/>
  <c r="G34" i="6"/>
  <c r="G20" i="6"/>
  <c r="F8" i="6"/>
  <c r="F30" i="6"/>
  <c r="G33" i="6"/>
  <c r="G11" i="6"/>
  <c r="F17" i="6"/>
  <c r="G39" i="6"/>
  <c r="G31" i="6"/>
  <c r="G17" i="6"/>
  <c r="G9" i="6"/>
  <c r="F3" i="6"/>
  <c r="F11" i="6"/>
  <c r="F19" i="6"/>
  <c r="F25" i="6"/>
  <c r="F33" i="6"/>
  <c r="F41" i="6"/>
  <c r="G37" i="6"/>
  <c r="G15" i="6"/>
  <c r="F5" i="6"/>
  <c r="F43" i="6"/>
  <c r="G44" i="6"/>
  <c r="G21" i="6"/>
  <c r="F6" i="6"/>
  <c r="F28" i="6"/>
  <c r="G35" i="6"/>
  <c r="G13" i="6"/>
  <c r="F7" i="6"/>
  <c r="F29" i="6"/>
  <c r="G26" i="6"/>
  <c r="G4" i="6"/>
  <c r="F23" i="6"/>
  <c r="F2" i="6"/>
  <c r="G19" i="6"/>
  <c r="F9" i="6"/>
  <c r="F39" i="6"/>
  <c r="G38" i="6"/>
  <c r="G30" i="6"/>
  <c r="G23" i="6"/>
  <c r="G16" i="6"/>
  <c r="G8" i="6"/>
  <c r="F4" i="6"/>
  <c r="F12" i="6"/>
  <c r="F20" i="6"/>
  <c r="F26" i="6"/>
  <c r="F34" i="6"/>
  <c r="F42" i="6"/>
  <c r="G45" i="6"/>
  <c r="G22" i="6"/>
  <c r="F13" i="6"/>
  <c r="F35" i="6"/>
  <c r="G36" i="6"/>
  <c r="G6" i="6"/>
  <c r="F21" i="6"/>
  <c r="F44" i="6"/>
  <c r="G43" i="6"/>
  <c r="F15" i="6"/>
  <c r="F37" i="6"/>
  <c r="G42" i="6"/>
  <c r="G12" i="6"/>
  <c r="F16" i="6"/>
  <c r="F38" i="6"/>
  <c r="G25" i="6"/>
  <c r="G3" i="6"/>
  <c r="F31" i="6"/>
  <c r="K24" i="6" l="1"/>
  <c r="G30" i="5" s="1"/>
  <c r="K29" i="6"/>
  <c r="K36" i="6"/>
  <c r="K14" i="6"/>
  <c r="K9" i="6"/>
  <c r="K6" i="6"/>
  <c r="K35" i="6"/>
  <c r="K19" i="6"/>
  <c r="K23" i="6"/>
  <c r="K40" i="6"/>
  <c r="K10" i="6"/>
  <c r="K7" i="6"/>
  <c r="K44" i="6"/>
  <c r="K20" i="6"/>
  <c r="K38" i="6"/>
  <c r="K3" i="6"/>
  <c r="K8" i="6"/>
  <c r="K30" i="6"/>
  <c r="K37" i="6"/>
  <c r="K25" i="6"/>
  <c r="K45" i="6"/>
  <c r="K11" i="6"/>
  <c r="K4" i="6"/>
  <c r="K12" i="6"/>
  <c r="K32" i="6"/>
  <c r="K41" i="6"/>
  <c r="K17" i="6"/>
  <c r="K15" i="6"/>
  <c r="K28" i="6"/>
  <c r="K39" i="6"/>
  <c r="K27" i="6"/>
  <c r="K5" i="6"/>
  <c r="K33" i="6"/>
  <c r="K42" i="6"/>
  <c r="K22" i="6"/>
  <c r="K2" i="6"/>
  <c r="K31" i="6"/>
  <c r="K13" i="6"/>
  <c r="K34" i="6"/>
  <c r="K43" i="6"/>
  <c r="K18" i="6"/>
  <c r="K16" i="6"/>
  <c r="K26" i="6"/>
  <c r="K21" i="6"/>
  <c r="H37" i="6"/>
  <c r="H17" i="6"/>
  <c r="H30" i="6"/>
  <c r="H2" i="6"/>
  <c r="H10" i="6"/>
  <c r="H44" i="6"/>
  <c r="H6" i="6"/>
  <c r="H7" i="6"/>
  <c r="H42" i="6"/>
  <c r="H36" i="6"/>
  <c r="H11" i="6"/>
  <c r="H5" i="6"/>
  <c r="H29" i="6"/>
  <c r="H18" i="6"/>
  <c r="H12" i="6"/>
  <c r="H38" i="6"/>
  <c r="H13" i="6"/>
  <c r="H33" i="6"/>
  <c r="H27" i="6"/>
  <c r="H24" i="6"/>
  <c r="H3" i="6"/>
  <c r="H8" i="6"/>
  <c r="H26" i="6"/>
  <c r="H39" i="6"/>
  <c r="H19" i="6"/>
  <c r="H35" i="6"/>
  <c r="H15" i="6"/>
  <c r="H9" i="6"/>
  <c r="H32" i="6"/>
  <c r="H40" i="6"/>
  <c r="H22" i="6"/>
  <c r="H25" i="6"/>
  <c r="H45" i="6"/>
  <c r="H20" i="6"/>
  <c r="H14" i="6"/>
  <c r="H43" i="6"/>
  <c r="H16" i="6"/>
  <c r="H23" i="6"/>
  <c r="H4" i="6"/>
  <c r="H21" i="6"/>
  <c r="H31" i="6"/>
  <c r="H34" i="6"/>
  <c r="H28" i="6"/>
  <c r="H41" i="6"/>
  <c r="E30" i="5" l="1"/>
  <c r="E26" i="5"/>
  <c r="G26" i="5"/>
  <c r="E28" i="5"/>
  <c r="G28" i="5"/>
  <c r="G34" i="5"/>
  <c r="E34" i="5"/>
  <c r="E32" i="5"/>
  <c r="G32" i="5"/>
  <c r="F56" i="3"/>
  <c r="F48" i="3"/>
  <c r="F40" i="3"/>
  <c r="F32" i="3"/>
  <c r="F24" i="3"/>
  <c r="F55" i="3"/>
  <c r="F47" i="3"/>
  <c r="F39" i="3"/>
  <c r="F31" i="3"/>
  <c r="F23" i="3"/>
  <c r="F34" i="3"/>
  <c r="F62" i="3"/>
  <c r="F54" i="3"/>
  <c r="F46" i="3"/>
  <c r="F38" i="3"/>
  <c r="F30" i="3"/>
  <c r="F22" i="3"/>
  <c r="F53" i="3"/>
  <c r="F45" i="3"/>
  <c r="F37" i="3"/>
  <c r="F29" i="3"/>
  <c r="F57" i="3"/>
  <c r="F33" i="3"/>
  <c r="F61" i="3"/>
  <c r="F21" i="3"/>
  <c r="F58" i="3"/>
  <c r="F50" i="3"/>
  <c r="F26" i="3"/>
  <c r="F60" i="3"/>
  <c r="F52" i="3"/>
  <c r="F44" i="3"/>
  <c r="F36" i="3"/>
  <c r="F28" i="3"/>
  <c r="F20" i="3"/>
  <c r="F25" i="3"/>
  <c r="F59" i="3"/>
  <c r="F51" i="3"/>
  <c r="F43" i="3"/>
  <c r="F35" i="3"/>
  <c r="F27" i="3"/>
  <c r="F19" i="3"/>
  <c r="F42" i="3"/>
  <c r="F49" i="3"/>
  <c r="F41" i="3"/>
  <c r="E56" i="3"/>
  <c r="E40" i="3"/>
  <c r="E55" i="3"/>
  <c r="E47" i="3"/>
  <c r="E39" i="3"/>
  <c r="E31" i="3"/>
  <c r="E23" i="3"/>
  <c r="E51" i="3"/>
  <c r="E27" i="3"/>
  <c r="E58" i="3"/>
  <c r="E26" i="3"/>
  <c r="E57" i="3"/>
  <c r="E25" i="3"/>
  <c r="E24" i="3"/>
  <c r="E62" i="3"/>
  <c r="E54" i="3"/>
  <c r="E46" i="3"/>
  <c r="E38" i="3"/>
  <c r="E30" i="3"/>
  <c r="E22" i="3"/>
  <c r="E60" i="3"/>
  <c r="E20" i="3"/>
  <c r="E43" i="3"/>
  <c r="E50" i="3"/>
  <c r="E34" i="3"/>
  <c r="E49" i="3"/>
  <c r="E48" i="3"/>
  <c r="E61" i="3"/>
  <c r="E53" i="3"/>
  <c r="E45" i="3"/>
  <c r="E37" i="3"/>
  <c r="E29" i="3"/>
  <c r="E21" i="3"/>
  <c r="E52" i="3"/>
  <c r="E44" i="3"/>
  <c r="E36" i="3"/>
  <c r="E28" i="3"/>
  <c r="E59" i="3"/>
  <c r="E35" i="3"/>
  <c r="E19" i="3"/>
  <c r="E42" i="3"/>
  <c r="E41" i="3"/>
  <c r="E33" i="3"/>
  <c r="E32" i="3"/>
  <c r="I61" i="3" l="1"/>
  <c r="G61" i="3"/>
  <c r="I59" i="3"/>
  <c r="G59" i="3"/>
  <c r="I45" i="3"/>
  <c r="G45" i="3"/>
  <c r="G20" i="3"/>
  <c r="I20" i="3"/>
  <c r="G24" i="3"/>
  <c r="I24" i="3"/>
  <c r="I31" i="3"/>
  <c r="G31" i="3"/>
  <c r="I32" i="3"/>
  <c r="G32" i="3"/>
  <c r="G28" i="3"/>
  <c r="I28" i="3"/>
  <c r="I53" i="3"/>
  <c r="G53" i="3"/>
  <c r="I60" i="3"/>
  <c r="G60" i="3"/>
  <c r="G25" i="3"/>
  <c r="I25" i="3"/>
  <c r="I39" i="3"/>
  <c r="G39" i="3"/>
  <c r="G22" i="3"/>
  <c r="I22" i="3"/>
  <c r="I57" i="3"/>
  <c r="G57" i="3"/>
  <c r="I47" i="3"/>
  <c r="G47" i="3"/>
  <c r="I33" i="3"/>
  <c r="G33" i="3"/>
  <c r="I44" i="3"/>
  <c r="G44" i="3"/>
  <c r="I48" i="3"/>
  <c r="G48" i="3"/>
  <c r="I30" i="3"/>
  <c r="G30" i="3"/>
  <c r="G26" i="3"/>
  <c r="I26" i="3"/>
  <c r="I55" i="3"/>
  <c r="G55" i="3"/>
  <c r="I41" i="3"/>
  <c r="G41" i="3"/>
  <c r="I52" i="3"/>
  <c r="G52" i="3"/>
  <c r="I49" i="3"/>
  <c r="G49" i="3"/>
  <c r="I38" i="3"/>
  <c r="G38" i="3"/>
  <c r="I58" i="3"/>
  <c r="G58" i="3"/>
  <c r="I42" i="3"/>
  <c r="G42" i="3"/>
  <c r="G21" i="3"/>
  <c r="I21" i="3"/>
  <c r="I34" i="3"/>
  <c r="G34" i="3"/>
  <c r="I46" i="3"/>
  <c r="G46" i="3"/>
  <c r="I27" i="3"/>
  <c r="G27" i="3"/>
  <c r="I40" i="3"/>
  <c r="G40" i="3"/>
  <c r="I36" i="3"/>
  <c r="G36" i="3"/>
  <c r="I19" i="3"/>
  <c r="G19" i="3"/>
  <c r="G29" i="3"/>
  <c r="I29" i="3"/>
  <c r="I50" i="3"/>
  <c r="G50" i="3"/>
  <c r="I54" i="3"/>
  <c r="G54" i="3"/>
  <c r="I51" i="3"/>
  <c r="G51" i="3"/>
  <c r="I56" i="3"/>
  <c r="G56" i="3"/>
  <c r="I35" i="3"/>
  <c r="G35" i="3"/>
  <c r="I37" i="3"/>
  <c r="G37" i="3"/>
  <c r="I43" i="3"/>
  <c r="G43" i="3"/>
  <c r="I62" i="3"/>
  <c r="G62" i="3"/>
  <c r="G23" i="3"/>
  <c r="I23" i="3"/>
  <c r="J41" i="3" l="1"/>
  <c r="J53" i="3"/>
  <c r="J46" i="3"/>
  <c r="J31" i="3"/>
  <c r="J19" i="3"/>
  <c r="M8" i="5" l="1"/>
</calcChain>
</file>

<file path=xl/sharedStrings.xml><?xml version="1.0" encoding="utf-8"?>
<sst xmlns="http://schemas.openxmlformats.org/spreadsheetml/2006/main" count="511" uniqueCount="241">
  <si>
    <t>EVALUACIÓN INDEPENDIENTE SISTEMA DE CONTROL INTERNO
Entidades Pequeñas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</si>
  <si>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 La estructura propuesta es diferencial para aquellas entidades de municipios de 6a categoría (Personerías y Concejos Municipales) que son entidades con 1 y hasta 5 servidores en sus plantas de personal. Estas entidades deben tener en cuenta que de acuerdo con el parágrafo del artículo ARTÍCULO 2.2.22.2.1. del Decreto 1499 de 2017, las políticas de gestión y desempeño contenidas en el Modelo Integrado de Planeación y Gestión MIPG, deben ser aplicadas acorde con las normas que las regulan, por lo que deben analizar dichas políticas e implementarlas en armonía con el MECI.</t>
  </si>
  <si>
    <t>Orientaciones Generales</t>
  </si>
  <si>
    <r>
      <t xml:space="preserve">El archivo contiene las siguientes hojas:
 -  1 </t>
    </r>
    <r>
      <rPr>
        <b/>
        <sz val="11"/>
        <rFont val="Arial Narrow"/>
        <family val="2"/>
      </rPr>
      <t xml:space="preserve">Pestaña que desarrolla la estructura para evaluar el estado del Sistema de Control Interno: </t>
    </r>
    <r>
      <rPr>
        <sz val="11"/>
        <rFont val="Arial Narrow"/>
        <family val="2"/>
      </rPr>
      <t xml:space="preserve">Se desagrega en </t>
    </r>
    <r>
      <rPr>
        <sz val="10"/>
        <rFont val="Arial Narrow"/>
        <family val="2"/>
      </rPr>
      <t>"Ambiente de Control", "Evaluación de riesgos", "Actividades de control", "Información y Comunicación", y " Actividades de Monitoreo", componentes actuales del Modelo Estándar de Control Interno MECI. La estructura es la siguiente para el diligenciamiento:</t>
    </r>
  </si>
  <si>
    <t>Columna</t>
  </si>
  <si>
    <t>Descripción</t>
  </si>
  <si>
    <t>Componente del MECI asociado</t>
  </si>
  <si>
    <t>Esta columna define los componentes del MECI.</t>
  </si>
  <si>
    <t>Lineamiento General por Componente</t>
  </si>
  <si>
    <t>En esta columna establece el lineamientos general para cada uno de los componentes del MECI</t>
  </si>
  <si>
    <t>Requerimiento Asociado al Componente</t>
  </si>
  <si>
    <t>Se muestran una serie de preguntas con 3 opciones de respuesta así:
1. SI
2.NO
3. EN PROCESO</t>
  </si>
  <si>
    <t>Evidencia de Seguimiento al Control</t>
  </si>
  <si>
    <t>Establezca actividades adelantadas de aplicación del documento o elemento antes identificado (esto cuando se responde SI o bien EN PROCESO)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</si>
  <si>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consolidar los resultados para cada componente evaluado.</t>
    </r>
  </si>
  <si>
    <t xml:space="preserve">Clasificación </t>
  </si>
  <si>
    <t>Observaciones del Control</t>
  </si>
  <si>
    <t>Mantenimiento del Control</t>
  </si>
  <si>
    <t>Existe requerimiento pero se requiere actividades  dirigidas a su mantenimiento dentro del marco de las lineas de defensa.</t>
  </si>
  <si>
    <t>Oportunidad de Mejora</t>
  </si>
  <si>
    <t>Se encuentra en proceso, pero requiere continuar con acciones dirigidas a contar con dicho aspecto de control</t>
  </si>
  <si>
    <t xml:space="preserve">Deficiencia del Control 
</t>
  </si>
  <si>
    <t>No se encuentra el aspecto  por lo tanto la entidad debera generar acciones dirigidas a que se cumpla con el requerimiento .</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</si>
  <si>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el estado del Sistema de Control Interno evaluado, información a partir de la cual se definen las acciones de mejora correspondientes. Esta hoja será el informe para publicación en página web, o bien para ubicar en un lugar visible en la sede de la entidad (esto para aquellas que no cuentan con conectividad o página web en operación).</t>
    </r>
  </si>
  <si>
    <t>MEDICION ESTADO DEL SISTEMA DE CONTROL INTERNO EN LA ENTIDAD</t>
  </si>
  <si>
    <t xml:space="preserve">No. </t>
  </si>
  <si>
    <t>Literal</t>
  </si>
  <si>
    <t>Requerimiento asociado al componente</t>
  </si>
  <si>
    <t>Seguimiento al control (Si, No, En proceso)</t>
  </si>
  <si>
    <t>Evidencia de seguimiento al control
(Establezca actividades adelantadas de aplicación del documento o elemento antes identificado, esto cuando se responde SI o bien EN PROCESO</t>
  </si>
  <si>
    <t>Evaluación</t>
  </si>
  <si>
    <t>1</t>
  </si>
  <si>
    <t>AMBIENTE DE CONTROL</t>
  </si>
  <si>
    <t>El ambiente de control institucional está integrado por todas esas condiciones mínimas que debe garantizar cualquier entidad pública para el ejercicio del control interno. Para el caso de su entidad indique si se cuenta con:</t>
  </si>
  <si>
    <t>a</t>
  </si>
  <si>
    <t>Documento interno o adopción del MECI actualizado</t>
  </si>
  <si>
    <t>No</t>
  </si>
  <si>
    <t>b</t>
  </si>
  <si>
    <t>Un documento tal como un código de ética, integridad u otro que formalice los estándares de conducta, los principios institucionales o los valores del servicio público</t>
  </si>
  <si>
    <t>Si</t>
  </si>
  <si>
    <t>c</t>
  </si>
  <si>
    <t>Planes, programas y proyectos de acuerdo con las normas que rigen y atendiendo con su propósito fundamental institucional (misión)</t>
  </si>
  <si>
    <t>d</t>
  </si>
  <si>
    <t>Una estructura organizacional formalizada (organigrama)</t>
  </si>
  <si>
    <t>e</t>
  </si>
  <si>
    <t>Un manual de funciones que describa los empleos de la entidad</t>
  </si>
  <si>
    <t>f</t>
  </si>
  <si>
    <t>La documentación de sus procesos y procedimientos o bien una lista de actividades principales que permitan conocer el estado de su gestión</t>
  </si>
  <si>
    <t>g</t>
  </si>
  <si>
    <t>Vinculación de los servidores públicos de acuerdo con el marco normativo que les rige (carrera administrativa, libre nombramiento y remoción, entre otros)</t>
  </si>
  <si>
    <t>h</t>
  </si>
  <si>
    <t>Procesos de inducción, capacitación y bienestar social para sus servidores públicos, de manera directa o en asociación con otras entidades municipales</t>
  </si>
  <si>
    <t>i</t>
  </si>
  <si>
    <t>Evaluación a los servidores públicos de acuerdo con el marco normativo que le rige</t>
  </si>
  <si>
    <t>j</t>
  </si>
  <si>
    <t>Procesos de desvinculación de servidores de acuerdo con lo previsto en la Constitución Política y las leyes</t>
  </si>
  <si>
    <t>k</t>
  </si>
  <si>
    <t>Mecanismos de rendición de cuentas a la ciudadanía</t>
  </si>
  <si>
    <t>l</t>
  </si>
  <si>
    <t>Presentación oportuna de sus informes de gestión a las autoridades competentes</t>
  </si>
  <si>
    <t>2</t>
  </si>
  <si>
    <t>EVALUACION DEL RIESGO</t>
  </si>
  <si>
    <t>Toda entidad debe identificar, evaluar y gestionar eventos potenciales, tanto internos como externos, que puedan afectar el logro de los objetivos institucionales. Para el caso de su entidad indique si se cuenta con:</t>
  </si>
  <si>
    <t>Identificación de cambios en su entorno que pueden generar consecuencias negativas en su gestión</t>
  </si>
  <si>
    <t>Identificación de aquellos problemas o aspectos que pueden afectar el cumplimiento de los planes de la entidad y en general su gestión institucional (riesgos)</t>
  </si>
  <si>
    <t>Identificación  de los riesgos relacionados con posibles actos de corrupción en el ejercicio de sus funciones</t>
  </si>
  <si>
    <t>Si su capacidad e infraestructura lo permite, identificación de riesgos asociados a las tecnologías de la información y las comunicaciones</t>
  </si>
  <si>
    <t>3</t>
  </si>
  <si>
    <t>Los líderes de los programas, proyectos, o procesos de la entidad  junto con sus equipos de trabajo:</t>
  </si>
  <si>
    <t>Hacen seguimiento a los problemas (riesgos)  que pueden afectar el cumplimiento de sus procesos, programas o proyectos a cargo</t>
  </si>
  <si>
    <t>Informan de manera periódica a quien corresponda sobre el desempeño de las actividades de gestión de riesgos</t>
  </si>
  <si>
    <t>Identifican deficiencias en las maneras de  controlar los riesgos o problemas en sus procesos, programas o proyectos, y propone los ajustes necesarios</t>
  </si>
  <si>
    <t>4</t>
  </si>
  <si>
    <t>Para el manejo de los problemas que afectan el cumplimiento de las metas u objetivos institucionales (riesgos), el jefe de control interno o quien haga sus veces, ha podido evidenciar si en la entidad:</t>
  </si>
  <si>
    <t>Se definen espacios de reunión para conocerlos y proponer acciones para su solución</t>
  </si>
  <si>
    <t>Cada líder del equipo autónomamente toma las acciones para solucionarlos.</t>
  </si>
  <si>
    <t>En proceso</t>
  </si>
  <si>
    <t>Solamente hasta que un organismo de control actúa se definen acciones de mejora.</t>
  </si>
  <si>
    <t>5</t>
  </si>
  <si>
    <t>ACTIVIDADES DE CONTROL</t>
  </si>
  <si>
    <t>Una vez identificados los problemas que afectan el cumplimiento de los planes de la entidad o su gestión institucional, la entidad debe diseñar los controles o mecanismos para darles tratamiento. Para el caso de su entidad indique si se cuenta con:</t>
  </si>
  <si>
    <t>La definición de acciones o actividades para para dar tratamiento a los problemas identificados (mitigación de riesgos), incluyendo aquellos asociados a posibles actos de corrupción</t>
  </si>
  <si>
    <t>Mecanismos de verificación de si se están o no mitigando los riesgos, o en su defecto, elaboración de planes de contingencia para subsanar sus consecuencias</t>
  </si>
  <si>
    <t>Planes, acciones o estrategias que permitan subsanar las consecuencias de la materialización de los riesgos, cuando se presentan</t>
  </si>
  <si>
    <t>Un documento que consolide  los riesgos  y el tratamiento que se les da, incluyendo aquellos que conllevan posibles actos de corrupción y si la capacidad e infraestructura lo permite, los asociados con las tecnologías de la información y las comunicaciones</t>
  </si>
  <si>
    <t>Un plan anticorrupción y de servicio al ciudadano con los temas que le aplican, publicado en algún medio para conocimiento de la ciudadanía</t>
  </si>
  <si>
    <t>6</t>
  </si>
  <si>
    <t>INFORMACION Y COMUNICACIÓN</t>
  </si>
  <si>
    <t>Las entidades deben procurar, de acuerdo con sus propias capacidades internas, que la información y la comunicación que requiere para su gestión y  control interno fluya de manera clara.  Acorde con lo anterior, indique si se cuenta con:</t>
  </si>
  <si>
    <t>Responsables de la información institucional</t>
  </si>
  <si>
    <t>Canales de comunicación con los ciudadanos</t>
  </si>
  <si>
    <t>Canales de comunicación o mecanismos de reporte de información a otros organismos gubernamentales o de control</t>
  </si>
  <si>
    <t xml:space="preserve">Lineamientos para dar tratamiento a la información de carácter reservado </t>
  </si>
  <si>
    <t>Identificación de información que produce en el marco de su gestión (Para los ciudadanos, organismos de control, organismos gubernamentales, entre otros)</t>
  </si>
  <si>
    <t>Identificación de información necesaria para la operación de la entidad (normograma, presupuesto, talento humano, infraestructura física y tecnológica)</t>
  </si>
  <si>
    <t>Si su capacidad e infraestructura lo permite, tecnologías de la información y las comunicaciones que soporten estos procesos</t>
  </si>
  <si>
    <t>7</t>
  </si>
  <si>
    <t>ACTIVIDADES DE MONITOREO</t>
  </si>
  <si>
    <t>Las entidades deben valorar: la eficiencia y eficacia de su gestión y la efectividad del control interno de la entidad pública con el propósito de detectar desviaciones y generar recomendaciones para la mejora. Para el caso de su entidad indique si se cuenta con:</t>
  </si>
  <si>
    <t>Mecanismos de evaluación de la gestión (cronogramas, indicadores, listas de chequeo u otros)</t>
  </si>
  <si>
    <t>Algún mecanismo para monitorear o supervisar el sistema de control interno institucional, ya sea por parte del representante legal, o del área de control interno (si la entidad cuenta con ella), o bien a través del Comité departamental o municipal de Auditoría.</t>
  </si>
  <si>
    <t>Medidas correctivas en caso de detectarse deficiencias en los ejercicios de evaluación, seguimiento o auditoría</t>
  </si>
  <si>
    <t>Seguimiento a los planes de mejoramiento suscritos con instancias de control internas o externas</t>
  </si>
  <si>
    <t>8</t>
  </si>
  <si>
    <t>¿La entidad ha solicitado hacer parte del Comité Municipal de Auditoría, a efectos de contar con un escenario para compartir buenas prácticas en materia de control interno, así como analizar la viabilidad de contar como mínimo con un proceso auditor en la vigencia?</t>
  </si>
  <si>
    <t>La entidad participa en el  Comité Municipal de Auditoría?</t>
  </si>
  <si>
    <t>9</t>
  </si>
  <si>
    <t>El jefe de control interno o quien haga sus veces, ha podido evidenciar si en la entidad el manejo que se ha hecho a los problemas que afectan el cumplimiento de sus metas y objetivos (riesgos) le ha permitido:</t>
  </si>
  <si>
    <t>Evitar que los problemas (riesgos) obstaculicen el cumplimiento de los objetivos.</t>
  </si>
  <si>
    <t>Controlar los puntos críticos en los procesos.</t>
  </si>
  <si>
    <t>Diseñar acciones adecuadas para controlar los problemas que afectan el cumplimiento de las metas y objetivos institucionales (riesgos).</t>
  </si>
  <si>
    <t>Ejecutar las acciones de acuerdo a como se diseñaron previamente.</t>
  </si>
  <si>
    <t>No se gestionan los problemas que afectan el cumplimiento de las funciones y objetivos institucionales(riesgos).</t>
  </si>
  <si>
    <t>ANÁLISIS DE RESULTADOS PARA LA TOMA DE DECISIONES</t>
  </si>
  <si>
    <t>Se encuentra en proceso, pero requiere continuar con acciones dirigidas a contar con dicho aspecto de control.</t>
  </si>
  <si>
    <t>Se encuentra presente  y funcionando, pero requiere mejoras frente a su diseño, ya que  opera de manera efectiva</t>
  </si>
  <si>
    <t>No se encuentra el aspecto  por lo tanto la entidad debera generar acciones dirigidas a que se cumpla con el requerimiento.</t>
  </si>
  <si>
    <t>RESULTADOS</t>
  </si>
  <si>
    <t>FUENTE DEL ANALISIS</t>
  </si>
  <si>
    <t xml:space="preserve">Seguimiento al control </t>
  </si>
  <si>
    <t>OBSERVACIONES DEL CONTROL</t>
  </si>
  <si>
    <t>NIVEL DE CUMPLIMIENTO-ASPECTOS PARTICULARES POR COMPONENTE</t>
  </si>
  <si>
    <t>NIVEL DE CUMPLIMIENTO COMPONENTE</t>
  </si>
  <si>
    <t>componente</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</si>
  <si>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</si>
  <si>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</si>
  <si>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</si>
  <si>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</si>
  <si>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</si>
  <si>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</si>
  <si>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</si>
  <si>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</si>
  <si>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¿se esta cumpliendo los requerimientos ?</t>
  </si>
  <si>
    <t>Nivel de Cumplimiento componente</t>
  </si>
  <si>
    <r>
      <rPr>
        <b/>
        <u/>
        <sz val="20"/>
        <color theme="0"/>
        <rFont val="Arial"/>
        <family val="2"/>
      </rPr>
      <t xml:space="preserve"> Estado actual:</t>
    </r>
    <r>
      <rPr>
        <b/>
        <sz val="20"/>
        <color theme="0"/>
        <rFont val="Arial"/>
        <family val="2"/>
      </rPr>
      <t xml:space="preserve"> Explicacion de las Debilidades y/o Fortalezas encontradas en cada componente</t>
    </r>
  </si>
  <si>
    <t>EVALUCION DEL RIESGO</t>
  </si>
  <si>
    <t>ACTIVIDADES DEL CONTROL</t>
  </si>
  <si>
    <t xml:space="preserve">ACTIVIDADES DE MONITOREO </t>
  </si>
  <si>
    <t xml:space="preserve">Evaluación </t>
  </si>
  <si>
    <t>Puntaje</t>
  </si>
  <si>
    <t xml:space="preserve">Orden </t>
  </si>
  <si>
    <t>Nivel de cumplimiento -Aaspectos particulares por componente</t>
  </si>
  <si>
    <t xml:space="preserve">Promedios </t>
  </si>
  <si>
    <t>1a</t>
  </si>
  <si>
    <t>1b</t>
  </si>
  <si>
    <t>1c</t>
  </si>
  <si>
    <t>1d</t>
  </si>
  <si>
    <t>1e</t>
  </si>
  <si>
    <t>1f</t>
  </si>
  <si>
    <t>1g</t>
  </si>
  <si>
    <t>1h</t>
  </si>
  <si>
    <t>1i</t>
  </si>
  <si>
    <t>1j</t>
  </si>
  <si>
    <t>1k</t>
  </si>
  <si>
    <t>1l</t>
  </si>
  <si>
    <t>2a</t>
  </si>
  <si>
    <t>La identificación de cambios en su entorno que pueden generar consecuencias negativas en su gestión</t>
  </si>
  <si>
    <t>2b</t>
  </si>
  <si>
    <t>La identificación de aquellos problemas o aspectos que pueden afectar el cumplimiento de los planes de la entidad y en general su gestión institucional (riesgos)</t>
  </si>
  <si>
    <t>2c</t>
  </si>
  <si>
    <t>La identificación  de los riesgos relacionados con posibles actos de corrupción en el ejercicio de sus funciones</t>
  </si>
  <si>
    <t>2d</t>
  </si>
  <si>
    <t>3a</t>
  </si>
  <si>
    <t>3b</t>
  </si>
  <si>
    <t>3c</t>
  </si>
  <si>
    <t>4a</t>
  </si>
  <si>
    <t>4b</t>
  </si>
  <si>
    <t>4c</t>
  </si>
  <si>
    <t>5a</t>
  </si>
  <si>
    <t>5b</t>
  </si>
  <si>
    <t>5c</t>
  </si>
  <si>
    <t>5d</t>
  </si>
  <si>
    <t>5e</t>
  </si>
  <si>
    <t>6a</t>
  </si>
  <si>
    <t>6b</t>
  </si>
  <si>
    <t>6c</t>
  </si>
  <si>
    <t>6d</t>
  </si>
  <si>
    <t>6e</t>
  </si>
  <si>
    <t>El jefe de control interno o quien haga sus veces, ha podido evidenciar si en la entidad si el manejo que se ha hecho a los problemas que afectan el cumplimiento de sus metas y objetivos (riesgos) le ha permitido:</t>
  </si>
  <si>
    <t>6f</t>
  </si>
  <si>
    <t>6g</t>
  </si>
  <si>
    <t>7a</t>
  </si>
  <si>
    <t>7d</t>
  </si>
  <si>
    <t>7f</t>
  </si>
  <si>
    <t>7g</t>
  </si>
  <si>
    <t>8h</t>
  </si>
  <si>
    <t>9a</t>
  </si>
  <si>
    <t>9b</t>
  </si>
  <si>
    <t>9c</t>
  </si>
  <si>
    <t>9d</t>
  </si>
  <si>
    <t>9e</t>
  </si>
  <si>
    <t xml:space="preserve">Se cuenta con una planta global estructurada por nivel jerarquico </t>
  </si>
  <si>
    <t>No se realiza evaluacion de desempeño, se esta trabajando en la aplicación de una avaluacion.</t>
  </si>
  <si>
    <t>Se implementara una evalacuion a  los riesgos para generar estrategias que permitan la mitigacion de los riesgos</t>
  </si>
  <si>
    <t>No se han implementado las politicas de seguridad de la informacion TIC, por lo cual no se le da el tratamiento adecuado a la informacion de caracter reservado.</t>
  </si>
  <si>
    <t>EMPRESA DE ASEO Y SERVICIOS PUBLICOS DE SUPIA S.A E.S.P - EMDAS</t>
  </si>
  <si>
    <t>De acuerdo a las fechas de seguimiento se informa a quien corresponde los avances y actividades que faltan por cumplir</t>
  </si>
  <si>
    <t>Se adoptó la Política de Riesgos para EMDAS S.A ESP  la cual incluye la metodología para tratar los riesgos y tambien aquellos asociados a actos de corrupción.
La Entidad se adhiere a los lineamientos establecidos en la “Guía para la Administración del Riesgo y el Diseño de Controles en entidades Públicas” Versión 5 (diciembre de 2020) elaborada por el Departamento Administrativo de la función Pública. Esta incluye riesgos de gestión, corrupción y seguridad digital.</t>
  </si>
  <si>
    <t>La matriz de riesgos implementada por EMDAS integra un Plan de Acción para dar tratamiento a los riesgos a partir del nivel de riesgo residual, se hace indispensable incorporar la totalidad de las áreas y procesos de la entidad en dicha matriz.</t>
  </si>
  <si>
    <t xml:space="preserve">Las responsabilidades de la gestión y control de la información requerida por la entidad para su funcionamiento se encuentra establecida en la normatividad  que regula la entidad, en los manuales de funciones, manuales operativos y contratos. 
</t>
  </si>
  <si>
    <t>Se cuenta con canales de comuicacion interna y externa que permite una mejor interaccion con el ususario. 
Atencion presencial en la oficina, lineas de atencion telefónica, whatsapp, correo electrónico y página web</t>
  </si>
  <si>
    <t>Se da cumplimiento de todos los reportes normativos, requeridos por los entes gubernamentales, a través de los canales que ellos señalan. Se procura dar cumplimiento a la Ley 1712 de 2014, con la publicación de información en el link de transparencia.</t>
  </si>
  <si>
    <t xml:space="preserve">No se cuenta registro de activos de información detallado y actualizado. </t>
  </si>
  <si>
    <t>Se cuenta con un plan anual de auditoria interna, el cual permite monitorear el sistema de control interno institucional</t>
  </si>
  <si>
    <t>Se realiza seguimiento esporádico a los planes de mejoramiento suscritos con organismos de control y área de control interno</t>
  </si>
  <si>
    <t xml:space="preserve">La entidad hace parte del comité municipal de auditoria, en donde se abordan temas relacionados con el control interno </t>
  </si>
  <si>
    <t>Se estan implementado estrategias que controlen los puntos críticos de la empresa</t>
  </si>
  <si>
    <t>Se estan implementando acciones que encaminen a la mitigacion de los riesgos</t>
  </si>
  <si>
    <t>Se tienen definidas las acciones para controlar los riesgos que puedan afectar el cumplimiento de metas organizacionales.</t>
  </si>
  <si>
    <t xml:space="preserve">Los responsables de los procesos de la empresa gestionan los problemas que se presentan en la operación, muchas veces las respuestas no son inmedidatas debido al recurso humano tan limitado para atender sus numerosas responsabilidades </t>
  </si>
  <si>
    <t xml:space="preserve">El Código de Integridad se encuentra debidamente socializado y adoptado por la entidad. </t>
  </si>
  <si>
    <t xml:space="preserve">Se cuenta con un organigrama,  actualizado a partir de los cargos existentes. </t>
  </si>
  <si>
    <t>Se cuenta con la documentación de las funciones específicas para cada puesto de trabajo.</t>
  </si>
  <si>
    <t xml:space="preserve">Los manuales de procesos y procedimientos se encuentran en proceso de revisión y actualización.   Se dispone de un plan de acción que define la ruta a seguir por la entidad durante la vigencia y que permite realizar el seguimieno a la gestión. </t>
  </si>
  <si>
    <t xml:space="preserve">
1.FORTALEZAS:  Se tienen identificada y documentada la información normativa, presupuestal, de talento humano, infraestructura y tecnología. DEBILIDADES:  Debido a los limitados recursos económicos con que cuenta la empresa no se tiene adoptada ni implementada un plan estrategico de tecnologías de la información ni una política para el manejo y seguridad de la información. </t>
  </si>
  <si>
    <t>Se cuenta con la infraestructura tecnológica elemental para la operación de la entidad, y para el manejo de los sistemas de información exigidos por los organismos de vigilancia y control.</t>
  </si>
  <si>
    <t>La entidad realizó la actualización del MECI a través de la adopción del Modelo Integrado de Planeación y Gestión MIPG</t>
  </si>
  <si>
    <t xml:space="preserve">Se cuenta con planes institucionales orientados al cumplimiento de los objetivos  y metas de la entidad. </t>
  </si>
  <si>
    <t xml:space="preserve">Se cuenta con planes y programas de capacitación y bienestar con las directrices a seguir, aprobados con acto administrativo, se dispone de evidencias de ejecución. </t>
  </si>
  <si>
    <t xml:space="preserve">Aunque no se tiene adoptado el proceso de desvinculación de servidores públicos, el retiro de los trabajadores y funcionarios se realiza conforme al marco normativo en cuanto a la liquidación de prestaciones sociales y proceso de entrega de información. </t>
  </si>
  <si>
    <t>La entidad realiza rendición de cuentas de su quehacer a través de las redes sociales y en los espacios de participación o formación con los grupos de interés, del mismo modo anualmente a través de la audiencia pública de rendición de cuentas a la ciudadanía rinde informe sobre su gestión.</t>
  </si>
  <si>
    <t>Cada área de gestión o proceso cuenta con un cronograma de presentación de informes a rendir a los entes internos y externos con su respectivo responsable y fecha de presentación.</t>
  </si>
  <si>
    <t>Se cuenta con un mapa de riesgos actualizado que integra diversas áreas de la empresa.</t>
  </si>
  <si>
    <t xml:space="preserve">En el mapa de riesgos no estan incorporados los riesgos de corrupción a los que la entidad puede estar expuesta. </t>
  </si>
  <si>
    <t>En el mapa de riesgos institucional están incluidos los riesgos asociados a TICs y los controles y medidas a implementar para evitarlos, o mitigarlos.</t>
  </si>
  <si>
    <t xml:space="preserve">Se identifican y se realizan las observaciones y recomendaciones para  ajustar o fortalecer los controles. </t>
  </si>
  <si>
    <t xml:space="preserve">Se está en proceso de realizar espacios de trabajo para socializar los resultados del seguimiento a riesgo </t>
  </si>
  <si>
    <t xml:space="preserve"> Se realizan sugerencias por las áreas de trabajo y se toman decisiones en conjunto con la Gerencia.</t>
  </si>
  <si>
    <t>Bajo el principio de autocontrol el líder de cada proceso realiza los ajustes o mejoras pertinentes al desarrollo de los procesos.</t>
  </si>
  <si>
    <t>Los líderes de los procesos eventualmente se realizan seguimientos para verificar el tratamiento y mitigacion de los riesgos, se requiere implementar estrategias que mejoren esta acción.</t>
  </si>
  <si>
    <t xml:space="preserve">Se cuenta con mapa de riesgos institucional,  que integra los riesgos de corupción y de tecnologías de la información y las comunicaciones que hasta el momento han sido identificados. </t>
  </si>
  <si>
    <t xml:space="preserve">Se cuenta con Plan Anticorrupción y Atención al Ciudadano aprobado y publicado.
</t>
  </si>
  <si>
    <t xml:space="preserve">Se cuenta con un normograma de la entidad actualizado anualmente, un presupuesto asignado para cada vigiencia con el cual se realiza el plan anual de adquisiciones, se dispone de información correspondiente al talento humano, maquinaria y equipos indispensables para la operación del servicio. </t>
  </si>
  <si>
    <t xml:space="preserve">Se cuenta con los intrumentos elementales para evaluar la gestión de la entidad. </t>
  </si>
  <si>
    <t xml:space="preserve">Se cuenta con Planes de  Mejora Internos a  partir de las observaciones y recomendaciones formuladas en los informes de seguimiento y auditoría realizadas por la Asesora de Control Interno. </t>
  </si>
  <si>
    <t>Las acciones para controlar o evitar la materialización de los riegos se encuentran en proceso de implementación.</t>
  </si>
  <si>
    <t xml:space="preserve">1.DEBILIDADES: los recursos continuan siendo insuficientes para la implementacion de todo el sistema . No se cuenta con una estructura organizacional actualizada.  2.FORTALEZAS: Alto compromiso de quienes desarrollan los procesos, cumpliendo con todas las obligaciones tanto con los clientes externos como los internos, además con los órganos de inspección,  vigilancia y control. 2.FORTALEZA: Alto compormiso por parte de la Gerente para llevar a cabo todos los procesos, esfuerzo para obtener los recursos y contratar acompañamiento en los procesos de control interno,  se tiene una cultura del control y existe un fuerte compromiso con la política anticorrupción. 
</t>
  </si>
  <si>
    <t xml:space="preserve">1.FORTALEZAS:  Se cuenta con una política de riesgos debidamente documentada y divulgada. 2. DEBILIDADES:  No se ha identificado riesgos para la totalidad de áreas y procesos de la entidad, en función de garantizar su debido tratamiento y control. </t>
  </si>
  <si>
    <t xml:space="preserve">1. DEBILIDADES: Debido a que el área administrativa cuenta con un recurso humano muy limitado para atender las multiples responsabilidades y actividades requeridas para garantizar la adecuada y oportuna operación de la empresa, se genera acumulación de tareas y por ende un mayor esfuerzo del personal administrativo y gerencial, afectando el debido registro y control de las actividades 2.FORTALEZAS: Alto compromiso de quienes desarrollan los procesos, cumpliendo con todas las obligaciones tanto con los clientes externos como internos, además con los entes de  inspección, vigilancia y control.
</t>
  </si>
  <si>
    <t xml:space="preserve">1. DEBILIDADES: En la Planta de Personal no se tiene creado el cargo de control interno,  debido a que no existen recursos para diseñar y establecer este cargo, lo cual afecta la evaluación, seguimiento y control pertinente y oportuno del sistema de control interno para la toma de decisiones. 2. FORTALEZAS: Se contratan los servicios de evaluación y auditoría para el sistema de control interno, se realiza de manera independiente labores de seguimiento a los procesos de la empresa. </t>
  </si>
  <si>
    <t>JULIO - DICIEMBRE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</si>
</sst>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5" x14ac:knownFonts="1">
    <font>
      <sz val="11"/>
      <color theme="1"/>
      <name val="Calibri"/>
      <family val="2"/>
      <scheme val="minor"/>
    </font>
    <font>
      <b/>
      <sz val="12"/>
      <name val="Arial"/>
      <family val="2"/>
    </font>
    <font>
      <sz val="11"/>
      <color theme="1"/>
      <name val="Calibri"/>
      <family val="2"/>
      <scheme val="minor"/>
    </font>
    <font>
      <sz val="11"/>
      <color theme="0"/>
      <name val="Calibri"/>
      <family val="2"/>
      <scheme val="minor"/>
    </font>
    <font>
      <b/>
      <sz val="12"/>
      <color theme="0"/>
      <name val="Arial"/>
      <family val="2"/>
    </font>
    <font>
      <b/>
      <sz val="20"/>
      <color theme="0"/>
      <name val="Arial Narrow"/>
      <family val="2"/>
    </font>
    <font>
      <sz val="11"/>
      <color theme="1"/>
      <name val="Arial Narrow"/>
      <family val="2"/>
    </font>
    <font>
      <sz val="11"/>
      <color theme="0"/>
      <name val="Arial Narrow"/>
      <family val="2"/>
    </font>
    <font>
      <b/>
      <sz val="18"/>
      <color theme="0"/>
      <name val="Arial"/>
      <family val="2"/>
    </font>
    <font>
      <sz val="20"/>
      <color rgb="FFFF0000"/>
      <name val="Arial"/>
      <family val="2"/>
    </font>
    <font>
      <b/>
      <sz val="12"/>
      <color rgb="FFFF0000"/>
      <name val="Arial"/>
      <family val="2"/>
    </font>
    <font>
      <b/>
      <sz val="10"/>
      <color rgb="FFFF0000"/>
      <name val="Arial"/>
      <family val="2"/>
    </font>
    <font>
      <b/>
      <sz val="10"/>
      <color theme="1"/>
      <name val="Arial"/>
      <family val="2"/>
    </font>
    <font>
      <b/>
      <sz val="16"/>
      <color theme="1"/>
      <name val="Arial"/>
      <family val="2"/>
    </font>
    <font>
      <b/>
      <i/>
      <sz val="10"/>
      <name val="Arial"/>
      <family val="2"/>
    </font>
    <font>
      <b/>
      <i/>
      <sz val="10"/>
      <color theme="1"/>
      <name val="Arial"/>
      <family val="2"/>
    </font>
    <font>
      <b/>
      <sz val="16"/>
      <color theme="0"/>
      <name val="Arial Narrow"/>
      <family val="2"/>
    </font>
    <font>
      <b/>
      <sz val="12"/>
      <color theme="0"/>
      <name val="Arial Narrow"/>
      <family val="2"/>
    </font>
    <font>
      <b/>
      <sz val="10"/>
      <color theme="0"/>
      <name val="Arial Narrow"/>
      <family val="2"/>
    </font>
    <font>
      <sz val="12"/>
      <color theme="1"/>
      <name val="Arial"/>
      <family val="2"/>
    </font>
    <font>
      <sz val="10"/>
      <color theme="1"/>
      <name val="Calibri"/>
      <family val="2"/>
      <scheme val="minor"/>
    </font>
    <font>
      <sz val="10"/>
      <color theme="0"/>
      <name val="Arial Narrow"/>
      <family val="2"/>
    </font>
    <font>
      <sz val="14"/>
      <color theme="0"/>
      <name val="Arial"/>
      <family val="2"/>
    </font>
    <font>
      <sz val="10"/>
      <color theme="1"/>
      <name val="Arial Narrow"/>
      <family val="2"/>
    </font>
    <font>
      <b/>
      <sz val="11"/>
      <name val="Arial Narrow"/>
      <family val="2"/>
    </font>
    <font>
      <sz val="10"/>
      <name val="Arial Narrow"/>
      <family val="2"/>
    </font>
    <font>
      <sz val="16"/>
      <color theme="0"/>
      <name val="Calibri"/>
      <family val="2"/>
      <scheme val="minor"/>
    </font>
    <font>
      <b/>
      <sz val="18"/>
      <name val="Calibri"/>
      <family val="2"/>
      <scheme val="minor"/>
    </font>
    <font>
      <sz val="10"/>
      <name val="Arial"/>
      <family val="2"/>
    </font>
    <font>
      <b/>
      <sz val="14"/>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sz val="11"/>
      <name val="Arial Narrow"/>
      <family val="2"/>
    </font>
    <font>
      <b/>
      <sz val="10"/>
      <color theme="1"/>
      <name val="Arial Narrow"/>
      <family val="2"/>
    </font>
    <font>
      <b/>
      <sz val="18"/>
      <color theme="1"/>
      <name val="Calibri"/>
      <family val="2"/>
      <scheme val="minor"/>
    </font>
    <font>
      <b/>
      <sz val="20"/>
      <name val="Arial"/>
      <family val="2"/>
    </font>
    <font>
      <sz val="12"/>
      <color theme="0"/>
      <name val="Arial Narrow"/>
      <family val="2"/>
    </font>
    <font>
      <b/>
      <sz val="14"/>
      <color theme="0"/>
      <name val="Arial Narrow"/>
      <family val="2"/>
    </font>
    <font>
      <sz val="12"/>
      <name val="Arial Narrow"/>
      <family val="2"/>
    </font>
    <font>
      <sz val="12"/>
      <color theme="1"/>
      <name val="Arial Narrow"/>
      <family val="2"/>
    </font>
    <font>
      <sz val="14"/>
      <color theme="1"/>
      <name val="Calibri"/>
      <family val="2"/>
      <scheme val="minor"/>
    </font>
    <font>
      <b/>
      <sz val="14"/>
      <name val="Arial"/>
      <family val="2"/>
    </font>
    <font>
      <sz val="18"/>
      <color theme="1"/>
      <name val="Arial"/>
      <family val="2"/>
    </font>
    <font>
      <b/>
      <sz val="24"/>
      <color theme="0"/>
      <name val="Arial Narrow"/>
      <family val="2"/>
    </font>
    <font>
      <b/>
      <sz val="20"/>
      <color theme="0"/>
      <name val="Arial"/>
      <family val="2"/>
    </font>
    <font>
      <sz val="20"/>
      <color theme="1"/>
      <name val="Calibri"/>
      <family val="2"/>
      <scheme val="minor"/>
    </font>
    <font>
      <b/>
      <u/>
      <sz val="20"/>
      <color theme="0"/>
      <name val="Arial"/>
      <family val="2"/>
    </font>
    <font>
      <sz val="25"/>
      <color theme="1"/>
      <name val="Calibri"/>
      <family val="2"/>
      <scheme val="minor"/>
    </font>
    <font>
      <sz val="12"/>
      <name val="Arial"/>
      <family val="2"/>
    </font>
    <font>
      <sz val="8"/>
      <name val="Arial Narrow"/>
      <family val="2"/>
    </font>
    <font>
      <b/>
      <sz val="11"/>
      <color theme="1"/>
      <name val="Calibri"/>
      <family val="2"/>
      <scheme val="minor"/>
    </font>
    <font>
      <b/>
      <sz val="22"/>
      <color theme="1"/>
      <name val="Arial Narrow"/>
      <family val="2"/>
    </font>
  </fonts>
  <fills count="17">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9" tint="0.39997558519241921"/>
        <bgColor indexed="64"/>
      </patternFill>
    </fill>
  </fills>
  <borders count="102">
    <border>
      <left/>
      <right/>
      <top/>
      <bottom/>
      <diagonal/>
    </border>
    <border>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auto="1"/>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medium">
        <color indexed="64"/>
      </top>
      <bottom style="thin">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5">
    <xf numFmtId="0" fontId="0" fillId="0" borderId="0"/>
    <xf numFmtId="9" fontId="2" fillId="0" borderId="0" applyFont="0" applyFill="0" applyBorder="0" applyAlignment="0" applyProtection="0"/>
    <xf numFmtId="0" fontId="20" fillId="0" borderId="0"/>
    <xf numFmtId="0" fontId="28" fillId="0" borderId="0"/>
    <xf numFmtId="0" fontId="32" fillId="0" borderId="0"/>
  </cellStyleXfs>
  <cellXfs count="333">
    <xf numFmtId="0" fontId="0" fillId="0" borderId="0" xfId="0"/>
    <xf numFmtId="0" fontId="0" fillId="4" borderId="0" xfId="0" applyFill="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6" fillId="4" borderId="0" xfId="0" applyFont="1" applyFill="1" applyAlignment="1">
      <alignment horizontal="center"/>
    </xf>
    <xf numFmtId="0" fontId="0" fillId="4" borderId="21" xfId="0" applyFill="1" applyBorder="1"/>
    <xf numFmtId="164" fontId="6" fillId="4" borderId="0" xfId="0" applyNumberFormat="1" applyFont="1" applyFill="1" applyAlignment="1">
      <alignment horizontal="center"/>
    </xf>
    <xf numFmtId="0" fontId="7" fillId="4" borderId="0" xfId="0" applyFont="1" applyFill="1" applyAlignment="1">
      <alignment vertical="center"/>
    </xf>
    <xf numFmtId="0" fontId="9" fillId="4" borderId="0" xfId="0" applyFont="1" applyFill="1" applyAlignment="1">
      <alignment horizontal="center" vertical="center"/>
    </xf>
    <xf numFmtId="0" fontId="10" fillId="4" borderId="0" xfId="0" applyFont="1" applyFill="1"/>
    <xf numFmtId="0" fontId="8" fillId="4" borderId="0" xfId="0" applyFont="1" applyFill="1" applyAlignment="1">
      <alignment horizontal="center" vertical="center"/>
    </xf>
    <xf numFmtId="0" fontId="1" fillId="4" borderId="30" xfId="0" applyFont="1" applyFill="1" applyBorder="1" applyAlignment="1">
      <alignment horizontal="center" vertical="center"/>
    </xf>
    <xf numFmtId="0" fontId="1" fillId="4" borderId="0" xfId="0" applyFont="1" applyFill="1" applyAlignment="1">
      <alignment horizontal="center" vertical="center"/>
    </xf>
    <xf numFmtId="0" fontId="11" fillId="4" borderId="0" xfId="0" applyFont="1" applyFill="1" applyAlignment="1">
      <alignment wrapText="1"/>
    </xf>
    <xf numFmtId="0" fontId="12" fillId="4" borderId="0" xfId="0" applyFont="1" applyFill="1" applyAlignment="1">
      <alignment wrapText="1"/>
    </xf>
    <xf numFmtId="0" fontId="4" fillId="0" borderId="0" xfId="0" applyFont="1" applyAlignment="1">
      <alignment vertical="center"/>
    </xf>
    <xf numFmtId="9" fontId="1" fillId="0" borderId="0" xfId="0" applyNumberFormat="1" applyFont="1" applyAlignment="1">
      <alignment vertical="center"/>
    </xf>
    <xf numFmtId="0" fontId="1" fillId="4" borderId="21" xfId="0" applyFont="1" applyFill="1" applyBorder="1" applyAlignment="1">
      <alignment vertical="center"/>
    </xf>
    <xf numFmtId="0" fontId="1" fillId="4" borderId="0" xfId="0" applyFont="1" applyFill="1" applyAlignment="1">
      <alignment vertical="center"/>
    </xf>
    <xf numFmtId="0" fontId="0" fillId="0" borderId="3" xfId="0" applyBorder="1"/>
    <xf numFmtId="0" fontId="4" fillId="4" borderId="0" xfId="0" applyFont="1" applyFill="1" applyAlignment="1">
      <alignment vertical="center"/>
    </xf>
    <xf numFmtId="0" fontId="1" fillId="4" borderId="0" xfId="0" applyFont="1" applyFill="1" applyAlignment="1">
      <alignment horizontal="left" vertical="center"/>
    </xf>
    <xf numFmtId="0" fontId="14" fillId="4" borderId="0" xfId="0" applyFont="1" applyFill="1" applyAlignment="1">
      <alignment vertical="center"/>
    </xf>
    <xf numFmtId="0" fontId="15" fillId="4" borderId="0" xfId="0" applyFont="1" applyFill="1"/>
    <xf numFmtId="0" fontId="0" fillId="4" borderId="34" xfId="0" applyFill="1" applyBorder="1"/>
    <xf numFmtId="0" fontId="0" fillId="4" borderId="35" xfId="0" applyFill="1" applyBorder="1"/>
    <xf numFmtId="0" fontId="0" fillId="4" borderId="36" xfId="0" applyFill="1" applyBorder="1"/>
    <xf numFmtId="0" fontId="19" fillId="0" borderId="0" xfId="0" applyFont="1" applyAlignment="1">
      <alignment horizontal="center" wrapText="1"/>
    </xf>
    <xf numFmtId="0" fontId="4" fillId="4" borderId="0" xfId="0" applyFont="1" applyFill="1" applyAlignment="1">
      <alignment horizontal="center" vertical="center" wrapText="1"/>
    </xf>
    <xf numFmtId="0" fontId="3" fillId="4" borderId="0" xfId="0" applyFont="1" applyFill="1"/>
    <xf numFmtId="0" fontId="4" fillId="4" borderId="0" xfId="0" applyFont="1" applyFill="1" applyAlignment="1">
      <alignment horizontal="left" vertical="center"/>
    </xf>
    <xf numFmtId="9" fontId="4" fillId="4" borderId="0" xfId="0" applyNumberFormat="1" applyFont="1" applyFill="1" applyAlignment="1">
      <alignment horizontal="center" vertical="center"/>
    </xf>
    <xf numFmtId="0" fontId="3" fillId="4" borderId="0" xfId="0" applyFont="1" applyFill="1" applyAlignment="1">
      <alignment horizontal="left"/>
    </xf>
    <xf numFmtId="0" fontId="21" fillId="0" borderId="0" xfId="2" applyFont="1" applyAlignment="1" applyProtection="1">
      <alignment vertical="center"/>
      <protection locked="0"/>
    </xf>
    <xf numFmtId="49" fontId="23" fillId="4" borderId="0" xfId="2" applyNumberFormat="1" applyFont="1" applyFill="1" applyAlignment="1" applyProtection="1">
      <alignment vertical="center"/>
      <protection locked="0"/>
    </xf>
    <xf numFmtId="0" fontId="23" fillId="4" borderId="0" xfId="2" applyFont="1" applyFill="1" applyAlignment="1" applyProtection="1">
      <alignment vertical="center"/>
      <protection locked="0"/>
    </xf>
    <xf numFmtId="9" fontId="25" fillId="4" borderId="0" xfId="2" applyNumberFormat="1" applyFont="1" applyFill="1" applyAlignment="1" applyProtection="1">
      <alignment vertical="center"/>
      <protection locked="0"/>
    </xf>
    <xf numFmtId="9" fontId="21" fillId="4" borderId="0" xfId="1" applyFont="1" applyFill="1" applyAlignment="1" applyProtection="1">
      <alignment vertical="center"/>
      <protection locked="0"/>
    </xf>
    <xf numFmtId="9" fontId="21" fillId="4" borderId="0" xfId="2" applyNumberFormat="1" applyFont="1" applyFill="1" applyAlignment="1" applyProtection="1">
      <alignment vertical="center"/>
      <protection locked="0"/>
    </xf>
    <xf numFmtId="0" fontId="25" fillId="4" borderId="0" xfId="2" applyFont="1" applyFill="1" applyAlignment="1" applyProtection="1">
      <alignment vertical="center"/>
      <protection locked="0"/>
    </xf>
    <xf numFmtId="0" fontId="25" fillId="0" borderId="0" xfId="3" applyFont="1"/>
    <xf numFmtId="0" fontId="6" fillId="4" borderId="0" xfId="0" applyFont="1" applyFill="1"/>
    <xf numFmtId="0" fontId="6" fillId="0" borderId="0" xfId="0" applyFont="1"/>
    <xf numFmtId="0" fontId="35" fillId="0" borderId="0" xfId="0" applyFont="1" applyAlignment="1">
      <alignment vertical="top"/>
    </xf>
    <xf numFmtId="49" fontId="35" fillId="0" borderId="0" xfId="0" applyNumberFormat="1" applyFont="1" applyAlignment="1">
      <alignment horizontal="center" vertical="top"/>
    </xf>
    <xf numFmtId="0" fontId="21" fillId="4" borderId="0" xfId="2" applyFont="1" applyFill="1" applyAlignment="1" applyProtection="1">
      <alignment vertical="center"/>
      <protection locked="0"/>
    </xf>
    <xf numFmtId="0" fontId="25" fillId="4" borderId="0" xfId="3" applyFont="1" applyFill="1"/>
    <xf numFmtId="0" fontId="25" fillId="4" borderId="59" xfId="3" applyFont="1" applyFill="1" applyBorder="1" applyAlignment="1">
      <alignment vertical="top" wrapText="1"/>
    </xf>
    <xf numFmtId="0" fontId="25" fillId="4" borderId="0" xfId="3" applyFont="1" applyFill="1" applyAlignment="1">
      <alignment vertical="top" wrapText="1"/>
    </xf>
    <xf numFmtId="0" fontId="25" fillId="4" borderId="60" xfId="3" applyFont="1" applyFill="1" applyBorder="1" applyAlignment="1">
      <alignment vertical="top" wrapText="1"/>
    </xf>
    <xf numFmtId="0" fontId="25" fillId="4" borderId="59" xfId="3" applyFont="1" applyFill="1" applyBorder="1" applyAlignment="1">
      <alignment horizontal="left" vertical="top"/>
    </xf>
    <xf numFmtId="0" fontId="25" fillId="4" borderId="60" xfId="3" applyFont="1" applyFill="1" applyBorder="1" applyAlignment="1">
      <alignment horizontal="left" vertical="top"/>
    </xf>
    <xf numFmtId="0" fontId="25" fillId="4" borderId="59" xfId="3" applyFont="1" applyFill="1" applyBorder="1"/>
    <xf numFmtId="0" fontId="33" fillId="4" borderId="0" xfId="4" applyFont="1" applyFill="1" applyAlignment="1">
      <alignment horizontal="left" vertical="top" wrapText="1" readingOrder="1"/>
    </xf>
    <xf numFmtId="0" fontId="25" fillId="4" borderId="60" xfId="3" applyFont="1" applyFill="1" applyBorder="1"/>
    <xf numFmtId="0" fontId="25" fillId="4" borderId="72" xfId="3" applyFont="1" applyFill="1" applyBorder="1"/>
    <xf numFmtId="0" fontId="25" fillId="4" borderId="73" xfId="3" applyFont="1" applyFill="1" applyBorder="1"/>
    <xf numFmtId="0" fontId="25" fillId="4" borderId="74" xfId="3" applyFont="1" applyFill="1" applyBorder="1"/>
    <xf numFmtId="0" fontId="33" fillId="4" borderId="0" xfId="0" applyFont="1" applyFill="1" applyAlignment="1">
      <alignment horizontal="left" vertical="center" wrapText="1"/>
    </xf>
    <xf numFmtId="0" fontId="34" fillId="4" borderId="0" xfId="0" applyFont="1" applyFill="1" applyAlignment="1">
      <alignment horizontal="left" vertical="top" wrapText="1"/>
    </xf>
    <xf numFmtId="0" fontId="25" fillId="4" borderId="0" xfId="3" quotePrefix="1" applyFont="1" applyFill="1" applyAlignment="1">
      <alignment horizontal="left" vertical="center" wrapText="1"/>
    </xf>
    <xf numFmtId="0" fontId="31" fillId="4" borderId="0" xfId="3" applyFont="1" applyFill="1" applyAlignment="1">
      <alignment horizontal="left" vertical="center" wrapText="1"/>
    </xf>
    <xf numFmtId="0" fontId="25" fillId="4" borderId="0" xfId="3" applyFont="1" applyFill="1" applyAlignment="1">
      <alignment horizontal="left" vertical="center" wrapText="1"/>
    </xf>
    <xf numFmtId="0" fontId="6" fillId="4" borderId="0" xfId="0" applyFont="1" applyFill="1" applyAlignment="1">
      <alignment vertical="center"/>
    </xf>
    <xf numFmtId="0" fontId="6" fillId="0" borderId="0" xfId="0" applyFont="1" applyAlignment="1">
      <alignment vertical="center"/>
    </xf>
    <xf numFmtId="0" fontId="7" fillId="4" borderId="0" xfId="0" applyFont="1" applyFill="1"/>
    <xf numFmtId="0" fontId="7" fillId="0" borderId="0" xfId="0" applyFont="1" applyAlignment="1">
      <alignment vertical="top"/>
    </xf>
    <xf numFmtId="0" fontId="7" fillId="0" borderId="0" xfId="0" applyFont="1"/>
    <xf numFmtId="0" fontId="39" fillId="9" borderId="11" xfId="0" applyFont="1" applyFill="1" applyBorder="1" applyAlignment="1">
      <alignment horizontal="center" vertical="top" wrapText="1"/>
    </xf>
    <xf numFmtId="0" fontId="41"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4" xfId="0" applyFont="1" applyBorder="1" applyAlignment="1">
      <alignment horizontal="center" vertical="center" wrapText="1"/>
    </xf>
    <xf numFmtId="0" fontId="8" fillId="13" borderId="3" xfId="0" applyFont="1" applyFill="1" applyBorder="1" applyAlignment="1">
      <alignment horizontal="center" vertical="center" wrapText="1"/>
    </xf>
    <xf numFmtId="0" fontId="45" fillId="0" borderId="0" xfId="0" applyFont="1" applyAlignment="1">
      <alignment horizontal="center" wrapText="1"/>
    </xf>
    <xf numFmtId="0" fontId="8" fillId="15"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46" fillId="2" borderId="3" xfId="0" applyFont="1" applyFill="1" applyBorder="1" applyAlignment="1">
      <alignment horizontal="center" vertical="center"/>
    </xf>
    <xf numFmtId="0" fontId="38" fillId="0" borderId="3" xfId="0" applyFont="1" applyBorder="1" applyAlignment="1">
      <alignment horizontal="center" vertical="center"/>
    </xf>
    <xf numFmtId="0" fontId="48" fillId="0" borderId="0" xfId="0" applyFont="1" applyAlignment="1">
      <alignment horizontal="center"/>
    </xf>
    <xf numFmtId="0" fontId="47" fillId="12" borderId="31" xfId="0" applyFont="1" applyFill="1" applyBorder="1" applyAlignment="1">
      <alignment horizontal="center" vertical="center" wrapText="1"/>
    </xf>
    <xf numFmtId="0" fontId="38" fillId="0" borderId="0" xfId="0" applyFont="1" applyAlignment="1">
      <alignment horizontal="center" vertical="center" wrapText="1"/>
    </xf>
    <xf numFmtId="0" fontId="24" fillId="4" borderId="0" xfId="2" applyFont="1" applyFill="1" applyAlignment="1">
      <alignment vertical="center" wrapText="1"/>
    </xf>
    <xf numFmtId="0" fontId="34" fillId="4" borderId="0" xfId="2" applyFont="1" applyFill="1" applyAlignment="1">
      <alignment vertical="center" wrapText="1"/>
    </xf>
    <xf numFmtId="0" fontId="35" fillId="0" borderId="0" xfId="0" applyFont="1" applyAlignment="1" applyProtection="1">
      <alignment horizontal="center" vertical="top"/>
      <protection hidden="1"/>
    </xf>
    <xf numFmtId="0" fontId="7" fillId="0" borderId="0" xfId="0" applyFont="1" applyAlignment="1" applyProtection="1">
      <alignment horizontal="center" vertical="top"/>
      <protection hidden="1"/>
    </xf>
    <xf numFmtId="49" fontId="7" fillId="0" borderId="0" xfId="0" applyNumberFormat="1" applyFont="1" applyAlignment="1" applyProtection="1">
      <alignment horizontal="center" vertical="top"/>
      <protection hidden="1"/>
    </xf>
    <xf numFmtId="0" fontId="7" fillId="0" borderId="0" xfId="0" applyFont="1" applyAlignment="1" applyProtection="1">
      <alignment vertical="top"/>
      <protection hidden="1"/>
    </xf>
    <xf numFmtId="0" fontId="18" fillId="2" borderId="82" xfId="2" applyFont="1" applyFill="1" applyBorder="1" applyAlignment="1">
      <alignment horizontal="center" vertical="center"/>
    </xf>
    <xf numFmtId="0" fontId="18" fillId="2" borderId="82" xfId="2" applyFont="1" applyFill="1" applyBorder="1" applyAlignment="1">
      <alignment horizontal="center" vertical="center" wrapText="1"/>
    </xf>
    <xf numFmtId="0" fontId="43" fillId="0" borderId="22" xfId="0" applyFont="1" applyBorder="1" applyAlignment="1" applyProtection="1">
      <alignment horizontal="center" vertical="center"/>
      <protection hidden="1"/>
    </xf>
    <xf numFmtId="9" fontId="0" fillId="0" borderId="90" xfId="0" applyNumberFormat="1" applyBorder="1" applyAlignment="1" applyProtection="1">
      <alignment horizontal="center" vertical="center"/>
      <protection hidden="1"/>
    </xf>
    <xf numFmtId="9" fontId="0" fillId="0" borderId="91" xfId="0" applyNumberFormat="1" applyBorder="1" applyAlignment="1" applyProtection="1">
      <alignment horizontal="center" vertical="center"/>
      <protection hidden="1"/>
    </xf>
    <xf numFmtId="9" fontId="0" fillId="0" borderId="92" xfId="0" applyNumberFormat="1" applyBorder="1" applyAlignment="1" applyProtection="1">
      <alignment horizontal="center" vertical="center"/>
      <protection hidden="1"/>
    </xf>
    <xf numFmtId="9" fontId="0" fillId="0" borderId="93" xfId="0" applyNumberFormat="1" applyBorder="1" applyAlignment="1" applyProtection="1">
      <alignment horizontal="center" vertical="center"/>
      <protection hidden="1"/>
    </xf>
    <xf numFmtId="9" fontId="0" fillId="0" borderId="6" xfId="0" applyNumberFormat="1" applyBorder="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9" fontId="0" fillId="0" borderId="7" xfId="0" applyNumberFormat="1" applyBorder="1" applyAlignment="1" applyProtection="1">
      <alignment horizontal="center" vertical="center"/>
      <protection hidden="1"/>
    </xf>
    <xf numFmtId="9" fontId="38" fillId="2" borderId="26" xfId="0" applyNumberFormat="1" applyFont="1" applyFill="1" applyBorder="1" applyAlignment="1" applyProtection="1">
      <alignment horizontal="center" vertical="center"/>
      <protection hidden="1"/>
    </xf>
    <xf numFmtId="0" fontId="38" fillId="0" borderId="3" xfId="0" applyFont="1" applyBorder="1" applyAlignment="1" applyProtection="1">
      <alignment horizontal="center" vertical="center"/>
      <protection hidden="1"/>
    </xf>
    <xf numFmtId="9" fontId="13" fillId="14" borderId="3" xfId="0" applyNumberFormat="1" applyFont="1" applyFill="1" applyBorder="1" applyAlignment="1" applyProtection="1">
      <alignment horizontal="center" vertical="center"/>
      <protection hidden="1"/>
    </xf>
    <xf numFmtId="49" fontId="50" fillId="4" borderId="2" xfId="0" applyNumberFormat="1" applyFont="1" applyFill="1" applyBorder="1" applyAlignment="1" applyProtection="1">
      <alignment horizontal="center" vertical="center" wrapText="1"/>
      <protection locked="0"/>
    </xf>
    <xf numFmtId="49" fontId="50" fillId="4" borderId="3" xfId="0" applyNumberFormat="1" applyFont="1" applyFill="1" applyBorder="1" applyAlignment="1" applyProtection="1">
      <alignment horizontal="center" vertical="center" wrapText="1"/>
      <protection locked="0"/>
    </xf>
    <xf numFmtId="49" fontId="50" fillId="4" borderId="4" xfId="0" applyNumberFormat="1" applyFont="1" applyFill="1" applyBorder="1" applyAlignment="1" applyProtection="1">
      <alignment horizontal="center" vertical="center" wrapText="1"/>
      <protection locked="0"/>
    </xf>
    <xf numFmtId="49" fontId="17" fillId="5" borderId="7" xfId="0" applyNumberFormat="1" applyFont="1" applyFill="1" applyBorder="1" applyAlignment="1" applyProtection="1">
      <alignment horizontal="center" vertical="center" wrapText="1"/>
      <protection hidden="1"/>
    </xf>
    <xf numFmtId="0" fontId="17" fillId="5" borderId="7" xfId="0" applyFont="1" applyFill="1" applyBorder="1" applyAlignment="1" applyProtection="1">
      <alignment horizontal="center" vertical="center" wrapText="1"/>
      <protection hidden="1"/>
    </xf>
    <xf numFmtId="0" fontId="17" fillId="5" borderId="10" xfId="0" applyFont="1" applyFill="1" applyBorder="1" applyAlignment="1" applyProtection="1">
      <alignment horizontal="center" vertical="center" wrapText="1"/>
      <protection hidden="1"/>
    </xf>
    <xf numFmtId="0" fontId="17" fillId="5" borderId="81" xfId="0" applyFont="1" applyFill="1" applyBorder="1"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10" fontId="0" fillId="0" borderId="0" xfId="1" applyNumberFormat="1" applyFont="1" applyProtection="1">
      <protection hidden="1"/>
    </xf>
    <xf numFmtId="49" fontId="39" fillId="9" borderId="14" xfId="0" applyNumberFormat="1" applyFont="1" applyFill="1" applyBorder="1" applyAlignment="1">
      <alignment horizontal="center" vertical="center" wrapText="1"/>
    </xf>
    <xf numFmtId="49" fontId="39" fillId="9" borderId="11" xfId="0" applyNumberFormat="1" applyFont="1" applyFill="1" applyBorder="1" applyAlignment="1">
      <alignment horizontal="center" vertical="center" wrapText="1"/>
    </xf>
    <xf numFmtId="0" fontId="41" fillId="0" borderId="2" xfId="0" applyFont="1" applyBorder="1" applyAlignment="1" applyProtection="1">
      <alignment horizontal="center" vertical="center" wrapText="1"/>
      <protection locked="0"/>
    </xf>
    <xf numFmtId="0" fontId="41" fillId="0" borderId="3" xfId="0" applyFont="1" applyBorder="1" applyAlignment="1" applyProtection="1">
      <alignment horizontal="center" vertical="center" wrapText="1"/>
      <protection locked="0"/>
    </xf>
    <xf numFmtId="0" fontId="41" fillId="0" borderId="4" xfId="0" applyFont="1" applyBorder="1" applyAlignment="1" applyProtection="1">
      <alignment horizontal="center" vertical="center" wrapText="1"/>
      <protection locked="0"/>
    </xf>
    <xf numFmtId="0" fontId="41" fillId="0" borderId="2" xfId="0" applyFont="1" applyBorder="1" applyAlignment="1">
      <alignment horizontal="justify" vertical="center" wrapText="1"/>
    </xf>
    <xf numFmtId="0" fontId="42" fillId="0" borderId="3" xfId="0" applyFont="1" applyBorder="1" applyAlignment="1">
      <alignment horizontal="justify" vertical="center" wrapText="1"/>
    </xf>
    <xf numFmtId="0" fontId="41" fillId="0" borderId="3" xfId="0" applyFont="1" applyBorder="1" applyAlignment="1">
      <alignment horizontal="justify" vertical="center" wrapText="1"/>
    </xf>
    <xf numFmtId="0" fontId="41" fillId="0" borderId="4" xfId="0" applyFont="1" applyBorder="1" applyAlignment="1">
      <alignment horizontal="justify" vertical="center" wrapText="1"/>
    </xf>
    <xf numFmtId="0" fontId="41" fillId="0" borderId="79" xfId="0" applyFont="1" applyBorder="1" applyAlignment="1" applyProtection="1">
      <alignment horizontal="justify" vertical="center" wrapText="1"/>
      <protection locked="0"/>
    </xf>
    <xf numFmtId="0" fontId="41" fillId="0" borderId="79" xfId="0" applyFont="1" applyBorder="1" applyAlignment="1" applyProtection="1">
      <alignment horizontal="center" vertical="center" wrapText="1"/>
      <protection hidden="1"/>
    </xf>
    <xf numFmtId="0" fontId="42" fillId="0" borderId="9" xfId="0" applyFont="1" applyBorder="1" applyAlignment="1" applyProtection="1">
      <alignment horizontal="justify" vertical="center" wrapText="1"/>
      <protection locked="0"/>
    </xf>
    <xf numFmtId="0" fontId="41" fillId="0" borderId="9" xfId="0" applyFont="1" applyBorder="1" applyAlignment="1" applyProtection="1">
      <alignment horizontal="justify" vertical="center" wrapText="1"/>
      <protection locked="0"/>
    </xf>
    <xf numFmtId="0" fontId="41" fillId="0" borderId="9" xfId="0" applyFont="1" applyBorder="1" applyAlignment="1" applyProtection="1">
      <alignment horizontal="center" vertical="center" wrapText="1"/>
      <protection hidden="1"/>
    </xf>
    <xf numFmtId="0" fontId="41" fillId="0" borderId="80" xfId="0" applyFont="1" applyBorder="1" applyAlignment="1" applyProtection="1">
      <alignment horizontal="justify" vertical="center" wrapText="1"/>
      <protection locked="0"/>
    </xf>
    <xf numFmtId="0" fontId="41" fillId="0" borderId="80" xfId="0" applyFont="1" applyBorder="1" applyAlignment="1" applyProtection="1">
      <alignment horizontal="center" vertical="center" wrapText="1"/>
      <protection hidden="1"/>
    </xf>
    <xf numFmtId="0" fontId="41" fillId="0" borderId="8" xfId="0" applyFont="1" applyBorder="1" applyAlignment="1" applyProtection="1">
      <alignment horizontal="center" vertical="center" wrapText="1"/>
      <protection hidden="1"/>
    </xf>
    <xf numFmtId="0" fontId="41" fillId="0" borderId="94" xfId="0" applyFont="1" applyBorder="1" applyAlignment="1" applyProtection="1">
      <alignment horizontal="center" vertical="center" wrapText="1"/>
      <protection hidden="1"/>
    </xf>
    <xf numFmtId="0" fontId="41" fillId="0" borderId="95" xfId="0" applyFont="1" applyBorder="1" applyAlignment="1" applyProtection="1">
      <alignment horizontal="center" vertical="center" wrapText="1"/>
      <protection hidden="1"/>
    </xf>
    <xf numFmtId="0" fontId="42" fillId="0" borderId="94" xfId="0" applyFont="1" applyBorder="1" applyAlignment="1" applyProtection="1">
      <alignment horizontal="center" vertical="center" wrapText="1"/>
      <protection hidden="1"/>
    </xf>
    <xf numFmtId="49" fontId="40" fillId="5" borderId="98" xfId="0" applyNumberFormat="1" applyFont="1" applyFill="1" applyBorder="1" applyAlignment="1">
      <alignment horizontal="center" vertical="center" wrapText="1"/>
    </xf>
    <xf numFmtId="49" fontId="40" fillId="5" borderId="99" xfId="0" applyNumberFormat="1" applyFont="1" applyFill="1" applyBorder="1" applyAlignment="1">
      <alignment horizontal="center" vertical="center" wrapText="1"/>
    </xf>
    <xf numFmtId="0" fontId="40" fillId="5" borderId="99" xfId="0" applyFont="1" applyFill="1" applyBorder="1" applyAlignment="1">
      <alignment horizontal="center" vertical="center" wrapText="1"/>
    </xf>
    <xf numFmtId="0" fontId="40" fillId="5" borderId="100" xfId="0" applyFont="1" applyFill="1" applyBorder="1" applyAlignment="1">
      <alignment horizontal="center" vertical="center" wrapText="1"/>
    </xf>
    <xf numFmtId="0" fontId="40" fillId="5" borderId="101" xfId="0" applyFont="1" applyFill="1" applyBorder="1" applyAlignment="1">
      <alignment horizontal="center" vertical="center" wrapText="1"/>
    </xf>
    <xf numFmtId="0" fontId="41" fillId="4" borderId="9" xfId="0" applyFont="1" applyFill="1" applyBorder="1" applyAlignment="1" applyProtection="1">
      <alignment horizontal="justify" vertical="center" wrapText="1"/>
      <protection locked="0"/>
    </xf>
    <xf numFmtId="0" fontId="6" fillId="0" borderId="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6" fillId="0" borderId="4" xfId="0" applyFont="1" applyBorder="1" applyAlignment="1" applyProtection="1">
      <alignment horizontal="center" vertical="center"/>
      <protection hidden="1"/>
    </xf>
    <xf numFmtId="0" fontId="6" fillId="0" borderId="7" xfId="0" applyFont="1" applyBorder="1" applyAlignment="1" applyProtection="1">
      <alignment horizontal="center" vertical="center"/>
      <protection hidden="1"/>
    </xf>
    <xf numFmtId="0" fontId="6" fillId="0" borderId="6" xfId="0" applyFont="1" applyBorder="1" applyAlignment="1" applyProtection="1">
      <alignment horizontal="center" vertical="center"/>
      <protection hidden="1"/>
    </xf>
    <xf numFmtId="0" fontId="35" fillId="0" borderId="2" xfId="0" applyFont="1" applyBorder="1" applyAlignment="1" applyProtection="1">
      <alignment horizontal="justify" vertical="center" wrapText="1"/>
      <protection hidden="1"/>
    </xf>
    <xf numFmtId="0" fontId="35" fillId="0" borderId="3" xfId="0" applyFont="1" applyBorder="1" applyAlignment="1" applyProtection="1">
      <alignment horizontal="justify" vertical="center" wrapText="1"/>
      <protection hidden="1"/>
    </xf>
    <xf numFmtId="0" fontId="35" fillId="0" borderId="4" xfId="0" applyFont="1" applyBorder="1" applyAlignment="1" applyProtection="1">
      <alignment horizontal="justify" vertical="center" wrapText="1"/>
      <protection hidden="1"/>
    </xf>
    <xf numFmtId="0" fontId="35" fillId="0" borderId="7" xfId="0" applyFont="1" applyBorder="1" applyAlignment="1" applyProtection="1">
      <alignment horizontal="justify" vertical="center" wrapText="1"/>
      <protection hidden="1"/>
    </xf>
    <xf numFmtId="0" fontId="35" fillId="0" borderId="6" xfId="0" applyFont="1" applyBorder="1" applyAlignment="1" applyProtection="1">
      <alignment horizontal="justify" vertical="center" wrapText="1"/>
      <protection hidden="1"/>
    </xf>
    <xf numFmtId="0" fontId="52" fillId="0" borderId="84" xfId="0" applyFont="1" applyBorder="1" applyAlignment="1" applyProtection="1">
      <alignment horizontal="justify" vertical="center" wrapText="1"/>
      <protection hidden="1"/>
    </xf>
    <xf numFmtId="0" fontId="52" fillId="0" borderId="85" xfId="0" applyFont="1" applyBorder="1" applyAlignment="1" applyProtection="1">
      <alignment horizontal="justify" vertical="center" wrapText="1"/>
      <protection hidden="1"/>
    </xf>
    <xf numFmtId="0" fontId="52" fillId="0" borderId="86" xfId="0" applyFont="1" applyBorder="1" applyAlignment="1" applyProtection="1">
      <alignment horizontal="justify" vertical="center" wrapText="1"/>
      <protection hidden="1"/>
    </xf>
    <xf numFmtId="0" fontId="52" fillId="0" borderId="5" xfId="0" applyFont="1" applyBorder="1" applyAlignment="1" applyProtection="1">
      <alignment horizontal="justify" vertical="center" wrapText="1"/>
      <protection hidden="1"/>
    </xf>
    <xf numFmtId="0" fontId="52" fillId="0" borderId="6" xfId="0" applyFont="1" applyBorder="1" applyAlignment="1" applyProtection="1">
      <alignment horizontal="justify" vertical="center" wrapText="1"/>
      <protection hidden="1"/>
    </xf>
    <xf numFmtId="0" fontId="52" fillId="0" borderId="3" xfId="0" applyFont="1" applyBorder="1" applyAlignment="1" applyProtection="1">
      <alignment horizontal="justify" vertical="center" wrapText="1"/>
      <protection hidden="1"/>
    </xf>
    <xf numFmtId="0" fontId="52" fillId="0" borderId="7" xfId="0" applyFont="1" applyBorder="1" applyAlignment="1" applyProtection="1">
      <alignment horizontal="justify" vertical="center" wrapText="1"/>
      <protection hidden="1"/>
    </xf>
    <xf numFmtId="0" fontId="41" fillId="4" borderId="79" xfId="0" applyFont="1" applyFill="1" applyBorder="1" applyAlignment="1" applyProtection="1">
      <alignment horizontal="justify" vertical="top" wrapText="1"/>
      <protection locked="0"/>
    </xf>
    <xf numFmtId="0" fontId="53" fillId="4" borderId="0" xfId="0" applyFont="1" applyFill="1"/>
    <xf numFmtId="0" fontId="53" fillId="4" borderId="18" xfId="0" applyFont="1" applyFill="1" applyBorder="1"/>
    <xf numFmtId="0" fontId="53" fillId="0" borderId="0" xfId="0" applyFont="1"/>
    <xf numFmtId="0" fontId="53" fillId="4" borderId="35" xfId="0" applyFont="1" applyFill="1" applyBorder="1"/>
    <xf numFmtId="0" fontId="41" fillId="0" borderId="9" xfId="0" applyFont="1" applyBorder="1" applyAlignment="1" applyProtection="1">
      <alignment horizontal="left" vertical="center" wrapText="1"/>
      <protection locked="0"/>
    </xf>
    <xf numFmtId="0" fontId="25" fillId="4" borderId="59" xfId="3" applyFont="1" applyFill="1" applyBorder="1" applyAlignment="1">
      <alignment horizontal="left" vertical="top" wrapText="1"/>
    </xf>
    <xf numFmtId="0" fontId="25" fillId="4" borderId="0" xfId="3" applyFont="1" applyFill="1" applyAlignment="1">
      <alignment horizontal="left" vertical="top" wrapText="1"/>
    </xf>
    <xf numFmtId="0" fontId="25" fillId="4" borderId="60" xfId="3" applyFont="1" applyFill="1" applyBorder="1" applyAlignment="1">
      <alignment horizontal="left" vertical="top" wrapText="1"/>
    </xf>
    <xf numFmtId="0" fontId="25" fillId="4" borderId="0" xfId="3" applyFont="1" applyFill="1"/>
    <xf numFmtId="0" fontId="33" fillId="4" borderId="77" xfId="0" applyFont="1" applyFill="1" applyBorder="1" applyAlignment="1">
      <alignment horizontal="left" vertical="center" wrapText="1"/>
    </xf>
    <xf numFmtId="0" fontId="33" fillId="4" borderId="78" xfId="0" applyFont="1" applyFill="1" applyBorder="1" applyAlignment="1">
      <alignment horizontal="left" vertical="center" wrapText="1"/>
    </xf>
    <xf numFmtId="0" fontId="34" fillId="0" borderId="69" xfId="3" applyFont="1" applyBorder="1" applyAlignment="1">
      <alignment horizontal="left" vertical="center" wrapText="1"/>
    </xf>
    <xf numFmtId="0" fontId="34" fillId="0" borderId="70" xfId="3" applyFont="1" applyBorder="1" applyAlignment="1">
      <alignment horizontal="left" vertical="center" wrapText="1"/>
    </xf>
    <xf numFmtId="0" fontId="16" fillId="2" borderId="44" xfId="2" applyFont="1" applyFill="1" applyBorder="1" applyAlignment="1">
      <alignment horizontal="center" vertical="center" wrapText="1"/>
    </xf>
    <xf numFmtId="0" fontId="16" fillId="2" borderId="45" xfId="2" applyFont="1" applyFill="1" applyBorder="1" applyAlignment="1">
      <alignment horizontal="center" vertical="center" wrapText="1"/>
    </xf>
    <xf numFmtId="0" fontId="24" fillId="7" borderId="50" xfId="2" applyFont="1" applyFill="1" applyBorder="1" applyAlignment="1">
      <alignment horizontal="center" vertical="center"/>
    </xf>
    <xf numFmtId="0" fontId="24" fillId="7" borderId="51" xfId="2" applyFont="1" applyFill="1" applyBorder="1" applyAlignment="1">
      <alignment horizontal="center" vertical="center"/>
    </xf>
    <xf numFmtId="0" fontId="25" fillId="0" borderId="56" xfId="2" applyFont="1" applyBorder="1" applyAlignment="1">
      <alignment horizontal="justify" vertical="center" wrapText="1"/>
    </xf>
    <xf numFmtId="0" fontId="25" fillId="0" borderId="57" xfId="2" applyFont="1" applyBorder="1" applyAlignment="1">
      <alignment horizontal="justify" vertical="center" wrapText="1"/>
    </xf>
    <xf numFmtId="0" fontId="24" fillId="8" borderId="52" xfId="2" applyFont="1" applyFill="1" applyBorder="1" applyAlignment="1">
      <alignment horizontal="center" vertical="center" wrapText="1"/>
    </xf>
    <xf numFmtId="0" fontId="24" fillId="8" borderId="53" xfId="2" applyFont="1" applyFill="1" applyBorder="1" applyAlignment="1">
      <alignment horizontal="center" vertical="center"/>
    </xf>
    <xf numFmtId="0" fontId="25" fillId="0" borderId="53" xfId="2" applyFont="1" applyBorder="1" applyAlignment="1">
      <alignment horizontal="justify" vertical="center" wrapText="1"/>
    </xf>
    <xf numFmtId="0" fontId="25" fillId="0" borderId="54" xfId="2" applyFont="1" applyBorder="1" applyAlignment="1">
      <alignment horizontal="justify" vertical="center" wrapText="1"/>
    </xf>
    <xf numFmtId="0" fontId="36" fillId="4" borderId="71" xfId="2" applyFont="1" applyFill="1" applyBorder="1" applyAlignment="1">
      <alignment horizontal="center" vertical="center" wrapText="1"/>
    </xf>
    <xf numFmtId="0" fontId="23" fillId="4" borderId="71" xfId="2" applyFont="1" applyFill="1" applyBorder="1" applyAlignment="1">
      <alignment horizontal="center" vertical="center" wrapText="1"/>
    </xf>
    <xf numFmtId="0" fontId="16" fillId="2" borderId="46" xfId="2" applyFont="1" applyFill="1" applyBorder="1" applyAlignment="1">
      <alignment horizontal="center" vertical="center" wrapText="1"/>
    </xf>
    <xf numFmtId="0" fontId="24" fillId="14" borderId="47" xfId="2" applyFont="1" applyFill="1" applyBorder="1" applyAlignment="1">
      <alignment horizontal="center" vertical="center"/>
    </xf>
    <xf numFmtId="0" fontId="24" fillId="14" borderId="48" xfId="2" applyFont="1" applyFill="1" applyBorder="1" applyAlignment="1">
      <alignment horizontal="center" vertical="center"/>
    </xf>
    <xf numFmtId="0" fontId="25" fillId="0" borderId="48" xfId="2" applyFont="1" applyBorder="1" applyAlignment="1">
      <alignment horizontal="justify" vertical="center" wrapText="1"/>
    </xf>
    <xf numFmtId="0" fontId="25" fillId="0" borderId="49" xfId="2" applyFont="1" applyBorder="1" applyAlignment="1">
      <alignment horizontal="justify" vertical="center" wrapText="1"/>
    </xf>
    <xf numFmtId="0" fontId="33" fillId="4" borderId="75" xfId="4" applyFont="1" applyFill="1" applyBorder="1" applyAlignment="1">
      <alignment horizontal="left" vertical="center" wrapText="1" readingOrder="1"/>
    </xf>
    <xf numFmtId="0" fontId="33" fillId="4" borderId="76" xfId="4" applyFont="1" applyFill="1" applyBorder="1" applyAlignment="1">
      <alignment horizontal="left" vertical="center" wrapText="1" readingOrder="1"/>
    </xf>
    <xf numFmtId="0" fontId="34" fillId="0" borderId="65" xfId="3" applyFont="1" applyBorder="1" applyAlignment="1">
      <alignment horizontal="left" vertical="center" wrapText="1"/>
    </xf>
    <xf numFmtId="0" fontId="34" fillId="0" borderId="66" xfId="3" applyFont="1" applyBorder="1" applyAlignment="1">
      <alignment horizontal="left" vertical="center" wrapText="1"/>
    </xf>
    <xf numFmtId="0" fontId="33" fillId="4" borderId="67" xfId="0" applyFont="1" applyFill="1" applyBorder="1" applyAlignment="1">
      <alignment horizontal="left" vertical="center" wrapText="1"/>
    </xf>
    <xf numFmtId="0" fontId="33" fillId="4" borderId="68" xfId="0" applyFont="1" applyFill="1" applyBorder="1" applyAlignment="1">
      <alignment horizontal="left" vertical="center" wrapText="1"/>
    </xf>
    <xf numFmtId="0" fontId="34" fillId="0" borderId="69" xfId="3" applyFont="1" applyBorder="1" applyAlignment="1">
      <alignment horizontal="left" vertical="top" wrapText="1"/>
    </xf>
    <xf numFmtId="0" fontId="34" fillId="0" borderId="70" xfId="3" applyFont="1" applyBorder="1" applyAlignment="1">
      <alignment horizontal="left" vertical="top" wrapText="1"/>
    </xf>
    <xf numFmtId="0" fontId="29" fillId="0" borderId="58" xfId="3" applyFont="1" applyBorder="1" applyAlignment="1">
      <alignment horizontal="center" vertical="center" wrapText="1"/>
    </xf>
    <xf numFmtId="0" fontId="29" fillId="0" borderId="55" xfId="3" applyFont="1" applyBorder="1" applyAlignment="1">
      <alignment horizontal="center" vertical="center" wrapText="1"/>
    </xf>
    <xf numFmtId="0" fontId="29" fillId="0" borderId="8" xfId="3" applyFont="1" applyBorder="1" applyAlignment="1">
      <alignment horizontal="center" vertical="center" wrapText="1"/>
    </xf>
    <xf numFmtId="0" fontId="25" fillId="0" borderId="59" xfId="3" quotePrefix="1" applyFont="1" applyBorder="1" applyAlignment="1">
      <alignment horizontal="left" vertical="center" wrapText="1"/>
    </xf>
    <xf numFmtId="0" fontId="25" fillId="0" borderId="0" xfId="3" quotePrefix="1" applyFont="1" applyAlignment="1">
      <alignment horizontal="left" vertical="center" wrapText="1"/>
    </xf>
    <xf numFmtId="0" fontId="25" fillId="0" borderId="60" xfId="3" quotePrefix="1" applyFont="1" applyBorder="1" applyAlignment="1">
      <alignment horizontal="left" vertical="center" wrapText="1"/>
    </xf>
    <xf numFmtId="0" fontId="30" fillId="4" borderId="59" xfId="3" quotePrefix="1" applyFont="1" applyFill="1" applyBorder="1" applyAlignment="1">
      <alignment horizontal="left" vertical="top" wrapText="1"/>
    </xf>
    <xf numFmtId="0" fontId="24" fillId="4" borderId="0" xfId="3" quotePrefix="1" applyFont="1" applyFill="1" applyAlignment="1">
      <alignment horizontal="left" vertical="top" wrapText="1"/>
    </xf>
    <xf numFmtId="0" fontId="24" fillId="4" borderId="60" xfId="3" quotePrefix="1" applyFont="1" applyFill="1" applyBorder="1" applyAlignment="1">
      <alignment horizontal="left" vertical="top" wrapText="1"/>
    </xf>
    <xf numFmtId="0" fontId="25" fillId="4" borderId="59" xfId="3" quotePrefix="1" applyFont="1" applyFill="1" applyBorder="1" applyAlignment="1">
      <alignment horizontal="left" vertical="top" wrapText="1"/>
    </xf>
    <xf numFmtId="0" fontId="25" fillId="4" borderId="0" xfId="3" quotePrefix="1" applyFont="1" applyFill="1" applyAlignment="1">
      <alignment horizontal="left" vertical="top" wrapText="1"/>
    </xf>
    <xf numFmtId="0" fontId="25" fillId="4" borderId="60" xfId="3" quotePrefix="1" applyFont="1" applyFill="1" applyBorder="1" applyAlignment="1">
      <alignment horizontal="left" vertical="top" wrapText="1"/>
    </xf>
    <xf numFmtId="0" fontId="33" fillId="16" borderId="61" xfId="4" applyFont="1" applyFill="1" applyBorder="1" applyAlignment="1">
      <alignment horizontal="center" vertical="center" wrapText="1"/>
    </xf>
    <xf numFmtId="0" fontId="33" fillId="16" borderId="62" xfId="4" applyFont="1" applyFill="1" applyBorder="1" applyAlignment="1">
      <alignment horizontal="center" vertical="center" wrapText="1"/>
    </xf>
    <xf numFmtId="0" fontId="33" fillId="16" borderId="63" xfId="3" applyFont="1" applyFill="1" applyBorder="1" applyAlignment="1">
      <alignment horizontal="center" vertical="center"/>
    </xf>
    <xf numFmtId="0" fontId="33" fillId="16" borderId="64" xfId="3" applyFont="1" applyFill="1" applyBorder="1" applyAlignment="1">
      <alignment horizontal="center" vertical="center"/>
    </xf>
    <xf numFmtId="49" fontId="40" fillId="5" borderId="24" xfId="0" applyNumberFormat="1" applyFont="1" applyFill="1" applyBorder="1" applyAlignment="1">
      <alignment horizontal="center" vertical="center"/>
    </xf>
    <xf numFmtId="49" fontId="40" fillId="5" borderId="1" xfId="0" applyNumberFormat="1" applyFont="1" applyFill="1" applyBorder="1" applyAlignment="1">
      <alignment horizontal="center" vertical="center"/>
    </xf>
    <xf numFmtId="49" fontId="40" fillId="5" borderId="25" xfId="0" applyNumberFormat="1" applyFont="1" applyFill="1" applyBorder="1" applyAlignment="1">
      <alignment horizontal="center" vertical="center"/>
    </xf>
    <xf numFmtId="0" fontId="39" fillId="11" borderId="11" xfId="0" applyFont="1" applyFill="1" applyBorder="1" applyAlignment="1">
      <alignment horizontal="center" vertical="center" wrapText="1"/>
    </xf>
    <xf numFmtId="0" fontId="39" fillId="11" borderId="12" xfId="0" applyFont="1" applyFill="1" applyBorder="1" applyAlignment="1">
      <alignment horizontal="center" vertical="center" wrapText="1"/>
    </xf>
    <xf numFmtId="0" fontId="39" fillId="11" borderId="13" xfId="0" applyFont="1" applyFill="1" applyBorder="1" applyAlignment="1">
      <alignment horizontal="center" vertical="center" wrapText="1"/>
    </xf>
    <xf numFmtId="49" fontId="39" fillId="11" borderId="14" xfId="0" applyNumberFormat="1" applyFont="1" applyFill="1" applyBorder="1" applyAlignment="1">
      <alignment horizontal="center" vertical="center" wrapText="1"/>
    </xf>
    <xf numFmtId="49" fontId="39" fillId="11" borderId="15" xfId="0" applyNumberFormat="1" applyFont="1" applyFill="1" applyBorder="1" applyAlignment="1">
      <alignment horizontal="center" vertical="center" wrapText="1"/>
    </xf>
    <xf numFmtId="49" fontId="39" fillId="11" borderId="16" xfId="0" applyNumberFormat="1" applyFont="1" applyFill="1" applyBorder="1" applyAlignment="1">
      <alignment horizontal="center" vertical="center" wrapText="1"/>
    </xf>
    <xf numFmtId="0" fontId="39" fillId="9" borderId="11" xfId="0" applyFont="1" applyFill="1" applyBorder="1" applyAlignment="1">
      <alignment horizontal="center" vertical="center" wrapText="1"/>
    </xf>
    <xf numFmtId="0" fontId="39" fillId="9" borderId="12" xfId="0" applyFont="1" applyFill="1" applyBorder="1" applyAlignment="1">
      <alignment horizontal="center" vertical="center" wrapText="1"/>
    </xf>
    <xf numFmtId="0" fontId="39" fillId="9" borderId="13" xfId="0" applyFont="1" applyFill="1" applyBorder="1" applyAlignment="1">
      <alignment horizontal="center" vertical="center" wrapText="1"/>
    </xf>
    <xf numFmtId="49" fontId="39" fillId="9" borderId="14" xfId="0" applyNumberFormat="1" applyFont="1" applyFill="1" applyBorder="1" applyAlignment="1">
      <alignment horizontal="center" vertical="center" wrapText="1"/>
    </xf>
    <xf numFmtId="49" fontId="39" fillId="9" borderId="15" xfId="0" applyNumberFormat="1" applyFont="1" applyFill="1" applyBorder="1" applyAlignment="1">
      <alignment horizontal="center" vertical="center" wrapText="1"/>
    </xf>
    <xf numFmtId="49" fontId="39" fillId="9" borderId="16" xfId="0" applyNumberFormat="1" applyFont="1" applyFill="1" applyBorder="1" applyAlignment="1">
      <alignment horizontal="center" vertical="center" wrapText="1"/>
    </xf>
    <xf numFmtId="0" fontId="39" fillId="6" borderId="14" xfId="0" applyFont="1" applyFill="1" applyBorder="1" applyAlignment="1">
      <alignment horizontal="center" vertical="center" wrapText="1"/>
    </xf>
    <xf numFmtId="0" fontId="39" fillId="6" borderId="15" xfId="0" applyFont="1" applyFill="1" applyBorder="1" applyAlignment="1">
      <alignment horizontal="center" vertical="center" wrapText="1"/>
    </xf>
    <xf numFmtId="0" fontId="39" fillId="6" borderId="16" xfId="0" applyFont="1" applyFill="1" applyBorder="1" applyAlignment="1">
      <alignment horizontal="center" vertical="center" wrapText="1"/>
    </xf>
    <xf numFmtId="49" fontId="7" fillId="6" borderId="14" xfId="0" applyNumberFormat="1" applyFont="1" applyFill="1" applyBorder="1" applyAlignment="1">
      <alignment horizontal="center" vertical="center" wrapText="1"/>
    </xf>
    <xf numFmtId="49" fontId="7" fillId="6" borderId="15" xfId="0" applyNumberFormat="1" applyFont="1" applyFill="1" applyBorder="1" applyAlignment="1">
      <alignment horizontal="center" vertical="center" wrapText="1"/>
    </xf>
    <xf numFmtId="49" fontId="7" fillId="6" borderId="16" xfId="0" applyNumberFormat="1" applyFont="1" applyFill="1" applyBorder="1" applyAlignment="1">
      <alignment horizontal="center" vertical="center" wrapText="1"/>
    </xf>
    <xf numFmtId="49" fontId="7" fillId="10" borderId="14" xfId="0" applyNumberFormat="1" applyFont="1" applyFill="1" applyBorder="1" applyAlignment="1">
      <alignment horizontal="center" vertical="center" wrapText="1"/>
    </xf>
    <xf numFmtId="49" fontId="7" fillId="10" borderId="15" xfId="0" applyNumberFormat="1" applyFont="1" applyFill="1" applyBorder="1" applyAlignment="1">
      <alignment horizontal="center" vertical="center" wrapText="1"/>
    </xf>
    <xf numFmtId="49" fontId="7" fillId="10" borderId="16" xfId="0" applyNumberFormat="1" applyFont="1" applyFill="1" applyBorder="1" applyAlignment="1">
      <alignment horizontal="center" vertical="center" wrapText="1"/>
    </xf>
    <xf numFmtId="0" fontId="39" fillId="10" borderId="14" xfId="0" applyFont="1" applyFill="1" applyBorder="1" applyAlignment="1">
      <alignment horizontal="center" vertical="center" wrapText="1"/>
    </xf>
    <xf numFmtId="0" fontId="39" fillId="10" borderId="15" xfId="0" applyFont="1" applyFill="1" applyBorder="1" applyAlignment="1">
      <alignment horizontal="center" vertical="center" wrapText="1"/>
    </xf>
    <xf numFmtId="0" fontId="39" fillId="10" borderId="16" xfId="0" applyFont="1" applyFill="1" applyBorder="1" applyAlignment="1">
      <alignment horizontal="center" vertical="center" wrapText="1"/>
    </xf>
    <xf numFmtId="49" fontId="39" fillId="6" borderId="96" xfId="0" applyNumberFormat="1" applyFont="1" applyFill="1" applyBorder="1" applyAlignment="1">
      <alignment horizontal="center" vertical="center" wrapText="1"/>
    </xf>
    <xf numFmtId="49" fontId="39" fillId="6" borderId="81" xfId="0" applyNumberFormat="1" applyFont="1" applyFill="1" applyBorder="1" applyAlignment="1">
      <alignment horizontal="center" vertical="center" wrapText="1"/>
    </xf>
    <xf numFmtId="49" fontId="39" fillId="6" borderId="97" xfId="0" applyNumberFormat="1" applyFont="1" applyFill="1" applyBorder="1" applyAlignment="1">
      <alignment horizontal="center" vertical="center" wrapText="1"/>
    </xf>
    <xf numFmtId="49" fontId="39" fillId="10" borderId="96" xfId="0" applyNumberFormat="1" applyFont="1" applyFill="1" applyBorder="1" applyAlignment="1">
      <alignment horizontal="center" vertical="center" wrapText="1"/>
    </xf>
    <xf numFmtId="49" fontId="39" fillId="10" borderId="81" xfId="0" applyNumberFormat="1" applyFont="1" applyFill="1" applyBorder="1" applyAlignment="1">
      <alignment horizontal="center" vertical="center" wrapText="1"/>
    </xf>
    <xf numFmtId="49" fontId="39" fillId="10" borderId="97" xfId="0" applyNumberFormat="1" applyFont="1" applyFill="1" applyBorder="1" applyAlignment="1">
      <alignment horizontal="center" vertical="center" wrapText="1"/>
    </xf>
    <xf numFmtId="49" fontId="39" fillId="2" borderId="11" xfId="0" applyNumberFormat="1" applyFont="1" applyFill="1" applyBorder="1" applyAlignment="1">
      <alignment horizontal="center" vertical="center" wrapText="1"/>
    </xf>
    <xf numFmtId="49" fontId="39" fillId="2" borderId="12" xfId="0" applyNumberFormat="1" applyFont="1" applyFill="1" applyBorder="1" applyAlignment="1">
      <alignment horizontal="center" vertical="center" wrapText="1"/>
    </xf>
    <xf numFmtId="49" fontId="39" fillId="2" borderId="13" xfId="0" applyNumberFormat="1" applyFont="1" applyFill="1" applyBorder="1" applyAlignment="1">
      <alignment horizontal="center" vertical="center" wrapText="1"/>
    </xf>
    <xf numFmtId="49" fontId="39" fillId="11" borderId="11" xfId="0" applyNumberFormat="1" applyFont="1" applyFill="1" applyBorder="1" applyAlignment="1">
      <alignment horizontal="center" vertical="center" wrapText="1"/>
    </xf>
    <xf numFmtId="49" fontId="39" fillId="11" borderId="12" xfId="0" applyNumberFormat="1" applyFont="1" applyFill="1" applyBorder="1" applyAlignment="1">
      <alignment horizontal="center" vertical="center" wrapText="1"/>
    </xf>
    <xf numFmtId="49" fontId="39" fillId="11" borderId="13" xfId="0" applyNumberFormat="1" applyFont="1" applyFill="1" applyBorder="1" applyAlignment="1">
      <alignment horizontal="center" vertical="center" wrapText="1"/>
    </xf>
    <xf numFmtId="49" fontId="39" fillId="9" borderId="11" xfId="0" applyNumberFormat="1" applyFont="1" applyFill="1" applyBorder="1" applyAlignment="1">
      <alignment horizontal="center" vertical="center" wrapText="1"/>
    </xf>
    <xf numFmtId="49" fontId="39" fillId="9" borderId="12" xfId="0" applyNumberFormat="1" applyFont="1" applyFill="1" applyBorder="1" applyAlignment="1">
      <alignment horizontal="center" vertical="center" wrapText="1"/>
    </xf>
    <xf numFmtId="49" fontId="39" fillId="9" borderId="13" xfId="0" applyNumberFormat="1" applyFont="1" applyFill="1" applyBorder="1" applyAlignment="1">
      <alignment horizontal="center" vertical="center" wrapText="1"/>
    </xf>
    <xf numFmtId="49" fontId="39" fillId="10" borderId="22" xfId="0" applyNumberFormat="1" applyFont="1" applyFill="1" applyBorder="1" applyAlignment="1">
      <alignment horizontal="center" vertical="center" wrapText="1"/>
    </xf>
    <xf numFmtId="0" fontId="39" fillId="10" borderId="90" xfId="0" applyFont="1" applyFill="1" applyBorder="1" applyAlignment="1">
      <alignment horizontal="center" vertical="center" wrapText="1"/>
    </xf>
    <xf numFmtId="0" fontId="39" fillId="10" borderId="91" xfId="0" applyFont="1" applyFill="1" applyBorder="1" applyAlignment="1">
      <alignment horizontal="center" vertical="center" wrapText="1"/>
    </xf>
    <xf numFmtId="0" fontId="39" fillId="10" borderId="92" xfId="0" applyFont="1" applyFill="1" applyBorder="1" applyAlignment="1">
      <alignment horizontal="center" vertical="center" wrapText="1"/>
    </xf>
    <xf numFmtId="49" fontId="39" fillId="10" borderId="3" xfId="0" applyNumberFormat="1" applyFont="1" applyFill="1" applyBorder="1" applyAlignment="1">
      <alignment horizontal="center" vertical="center" wrapText="1"/>
    </xf>
    <xf numFmtId="49" fontId="39" fillId="10" borderId="15" xfId="0" applyNumberFormat="1" applyFont="1" applyFill="1" applyBorder="1" applyAlignment="1">
      <alignment horizontal="center" vertical="center" wrapText="1"/>
    </xf>
    <xf numFmtId="49" fontId="39" fillId="2" borderId="14" xfId="0" applyNumberFormat="1" applyFont="1" applyFill="1" applyBorder="1" applyAlignment="1">
      <alignment horizontal="center" vertical="center" wrapText="1"/>
    </xf>
    <xf numFmtId="49" fontId="39" fillId="2" borderId="15" xfId="0" applyNumberFormat="1" applyFont="1" applyFill="1" applyBorder="1" applyAlignment="1">
      <alignment horizontal="center" vertical="center" wrapText="1"/>
    </xf>
    <xf numFmtId="49" fontId="39" fillId="2" borderId="16" xfId="0" applyNumberFormat="1" applyFont="1" applyFill="1" applyBorder="1" applyAlignment="1">
      <alignment horizontal="center" vertical="center" wrapText="1"/>
    </xf>
    <xf numFmtId="0" fontId="39" fillId="2" borderId="11" xfId="0" applyFont="1" applyFill="1" applyBorder="1" applyAlignment="1">
      <alignment horizontal="center" vertical="center" wrapText="1"/>
    </xf>
    <xf numFmtId="0" fontId="39" fillId="2" borderId="12" xfId="0" applyFont="1" applyFill="1" applyBorder="1" applyAlignment="1">
      <alignment horizontal="center" vertical="center" wrapText="1"/>
    </xf>
    <xf numFmtId="0" fontId="39" fillId="2" borderId="13" xfId="0" applyFont="1" applyFill="1" applyBorder="1" applyAlignment="1">
      <alignment horizontal="center" vertical="center" wrapText="1"/>
    </xf>
    <xf numFmtId="0" fontId="5" fillId="2" borderId="24"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25" xfId="0" applyFont="1" applyFill="1" applyBorder="1" applyAlignment="1">
      <alignment horizontal="center" vertical="center"/>
    </xf>
    <xf numFmtId="0" fontId="18" fillId="3" borderId="32" xfId="2" applyFont="1" applyFill="1" applyBorder="1" applyAlignment="1">
      <alignment horizontal="center" vertical="center" wrapText="1"/>
    </xf>
    <xf numFmtId="0" fontId="18" fillId="3" borderId="33" xfId="2" applyFont="1" applyFill="1" applyBorder="1" applyAlignment="1">
      <alignment horizontal="center" vertical="center" wrapText="1"/>
    </xf>
    <xf numFmtId="0" fontId="22" fillId="6" borderId="14" xfId="0" applyFont="1" applyFill="1" applyBorder="1" applyAlignment="1">
      <alignment horizontal="center" vertical="center" textRotation="90" wrapText="1"/>
    </xf>
    <xf numFmtId="0" fontId="22" fillId="6" borderId="15" xfId="0" applyFont="1" applyFill="1" applyBorder="1" applyAlignment="1">
      <alignment horizontal="center" vertical="center" textRotation="90" wrapText="1"/>
    </xf>
    <xf numFmtId="0" fontId="22" fillId="6" borderId="16" xfId="0" applyFont="1" applyFill="1" applyBorder="1" applyAlignment="1">
      <alignment horizontal="center" vertical="center" textRotation="90" wrapText="1"/>
    </xf>
    <xf numFmtId="0" fontId="18" fillId="2" borderId="37" xfId="2" applyFont="1" applyFill="1" applyBorder="1" applyAlignment="1">
      <alignment horizontal="center" vertical="center" wrapText="1"/>
    </xf>
    <xf numFmtId="0" fontId="18" fillId="2" borderId="83" xfId="2" applyFont="1" applyFill="1" applyBorder="1" applyAlignment="1">
      <alignment horizontal="center" vertical="center" wrapText="1"/>
    </xf>
    <xf numFmtId="0" fontId="18" fillId="2" borderId="38" xfId="2" applyFont="1" applyFill="1" applyBorder="1" applyAlignment="1">
      <alignment horizontal="center" vertical="center" wrapText="1"/>
    </xf>
    <xf numFmtId="0" fontId="18" fillId="2" borderId="39" xfId="2" applyFont="1" applyFill="1" applyBorder="1" applyAlignment="1">
      <alignment horizontal="center" vertical="center" wrapText="1"/>
    </xf>
    <xf numFmtId="0" fontId="18" fillId="2" borderId="40" xfId="2" applyFont="1" applyFill="1" applyBorder="1" applyAlignment="1">
      <alignment horizontal="center" vertical="center" wrapText="1"/>
    </xf>
    <xf numFmtId="0" fontId="18" fillId="2" borderId="42" xfId="2" applyFont="1" applyFill="1" applyBorder="1" applyAlignment="1">
      <alignment horizontal="center" vertical="center" wrapText="1"/>
    </xf>
    <xf numFmtId="0" fontId="18" fillId="2" borderId="41" xfId="2" applyFont="1" applyFill="1" applyBorder="1" applyAlignment="1">
      <alignment horizontal="center" vertical="center" wrapText="1"/>
    </xf>
    <xf numFmtId="0" fontId="18" fillId="2" borderId="43" xfId="2" applyFont="1" applyFill="1" applyBorder="1" applyAlignment="1">
      <alignment horizontal="center" vertical="center" wrapText="1"/>
    </xf>
    <xf numFmtId="9" fontId="37" fillId="0" borderId="87" xfId="0" applyNumberFormat="1" applyFont="1" applyBorder="1" applyAlignment="1" applyProtection="1">
      <alignment horizontal="center" vertical="center"/>
      <protection hidden="1"/>
    </xf>
    <xf numFmtId="9" fontId="37" fillId="0" borderId="88" xfId="0" applyNumberFormat="1" applyFont="1" applyBorder="1" applyAlignment="1" applyProtection="1">
      <alignment horizontal="center" vertical="center"/>
      <protection hidden="1"/>
    </xf>
    <xf numFmtId="9" fontId="27" fillId="7" borderId="84" xfId="1" applyFont="1" applyFill="1" applyBorder="1" applyAlignment="1" applyProtection="1">
      <alignment horizontal="center" vertical="center"/>
      <protection hidden="1"/>
    </xf>
    <xf numFmtId="9" fontId="27" fillId="7" borderId="85" xfId="1" applyFont="1" applyFill="1" applyBorder="1" applyAlignment="1" applyProtection="1">
      <alignment horizontal="center" vertical="center"/>
      <protection hidden="1"/>
    </xf>
    <xf numFmtId="9" fontId="27" fillId="7" borderId="86" xfId="1" applyFont="1" applyFill="1" applyBorder="1" applyAlignment="1" applyProtection="1">
      <alignment horizontal="center" vertical="center"/>
      <protection hidden="1"/>
    </xf>
    <xf numFmtId="0" fontId="26" fillId="9" borderId="14" xfId="0" applyFont="1" applyFill="1" applyBorder="1" applyAlignment="1">
      <alignment horizontal="center" vertical="center" textRotation="90"/>
    </xf>
    <xf numFmtId="0" fontId="26" fillId="9" borderId="15" xfId="0" applyFont="1" applyFill="1" applyBorder="1" applyAlignment="1">
      <alignment horizontal="center" vertical="center" textRotation="90"/>
    </xf>
    <xf numFmtId="0" fontId="26" fillId="9" borderId="16" xfId="0" applyFont="1" applyFill="1" applyBorder="1" applyAlignment="1">
      <alignment horizontal="center" vertical="center" textRotation="90"/>
    </xf>
    <xf numFmtId="9" fontId="37" fillId="4" borderId="87" xfId="0" applyNumberFormat="1" applyFont="1" applyFill="1" applyBorder="1" applyAlignment="1" applyProtection="1">
      <alignment horizontal="center" vertical="center"/>
      <protection hidden="1"/>
    </xf>
    <xf numFmtId="9" fontId="37" fillId="4" borderId="88" xfId="0" applyNumberFormat="1" applyFont="1" applyFill="1" applyBorder="1" applyAlignment="1" applyProtection="1">
      <alignment horizontal="center" vertical="center"/>
      <protection hidden="1"/>
    </xf>
    <xf numFmtId="9" fontId="37" fillId="4" borderId="89" xfId="0" applyNumberFormat="1" applyFont="1" applyFill="1" applyBorder="1" applyAlignment="1" applyProtection="1">
      <alignment horizontal="center" vertical="center"/>
      <protection hidden="1"/>
    </xf>
    <xf numFmtId="0" fontId="26" fillId="11" borderId="15" xfId="0" applyFont="1" applyFill="1" applyBorder="1" applyAlignment="1">
      <alignment horizontal="center" vertical="center" textRotation="90"/>
    </xf>
    <xf numFmtId="0" fontId="26" fillId="2" borderId="14" xfId="0" applyFont="1" applyFill="1" applyBorder="1" applyAlignment="1">
      <alignment horizontal="center" vertical="center" textRotation="90"/>
    </xf>
    <xf numFmtId="0" fontId="26" fillId="2" borderId="15" xfId="0" applyFont="1" applyFill="1" applyBorder="1" applyAlignment="1">
      <alignment horizontal="center" vertical="center" textRotation="90"/>
    </xf>
    <xf numFmtId="0" fontId="26" fillId="2" borderId="16" xfId="0" applyFont="1" applyFill="1" applyBorder="1" applyAlignment="1">
      <alignment horizontal="center" vertical="center" textRotation="90"/>
    </xf>
    <xf numFmtId="9" fontId="37" fillId="0" borderId="89" xfId="0" applyNumberFormat="1" applyFont="1" applyBorder="1" applyAlignment="1" applyProtection="1">
      <alignment horizontal="center" vertical="center"/>
      <protection hidden="1"/>
    </xf>
    <xf numFmtId="0" fontId="26" fillId="10" borderId="14" xfId="0" applyFont="1" applyFill="1" applyBorder="1" applyAlignment="1">
      <alignment horizontal="center" vertical="center" textRotation="90"/>
    </xf>
    <xf numFmtId="0" fontId="26" fillId="10" borderId="15" xfId="0" applyFont="1" applyFill="1" applyBorder="1" applyAlignment="1">
      <alignment horizontal="center" vertical="center" textRotation="90"/>
    </xf>
    <xf numFmtId="0" fontId="0" fillId="0" borderId="24" xfId="0" applyBorder="1" applyAlignment="1" applyProtection="1">
      <alignment horizontal="justify" vertical="center" wrapText="1"/>
      <protection locked="0"/>
    </xf>
    <xf numFmtId="0" fontId="0" fillId="0" borderId="1" xfId="0" applyBorder="1" applyAlignment="1" applyProtection="1">
      <alignment horizontal="justify" vertical="center"/>
      <protection locked="0"/>
    </xf>
    <xf numFmtId="0" fontId="0" fillId="0" borderId="25" xfId="0" applyBorder="1" applyAlignment="1" applyProtection="1">
      <alignment horizontal="justify" vertical="center"/>
      <protection locked="0"/>
    </xf>
    <xf numFmtId="0" fontId="47" fillId="12" borderId="0" xfId="0" applyFont="1" applyFill="1" applyAlignment="1">
      <alignment horizontal="center" vertical="center" wrapText="1"/>
    </xf>
    <xf numFmtId="0" fontId="51" fillId="0" borderId="24" xfId="0" applyFont="1" applyBorder="1" applyAlignment="1" applyProtection="1">
      <alignment horizontal="justify" vertical="center" wrapText="1"/>
      <protection locked="0"/>
    </xf>
    <xf numFmtId="0" fontId="51" fillId="0" borderId="1" xfId="0" applyFont="1" applyBorder="1" applyAlignment="1" applyProtection="1">
      <alignment horizontal="justify" vertical="center"/>
      <protection locked="0"/>
    </xf>
    <xf numFmtId="0" fontId="51" fillId="0" borderId="25" xfId="0" applyFont="1" applyBorder="1" applyAlignment="1" applyProtection="1">
      <alignment horizontal="justify" vertical="center"/>
      <protection locked="0"/>
    </xf>
    <xf numFmtId="0" fontId="0" fillId="0" borderId="73" xfId="0" applyBorder="1" applyAlignment="1">
      <alignment horizontal="center"/>
    </xf>
    <xf numFmtId="0" fontId="0" fillId="0" borderId="1" xfId="0" applyBorder="1" applyAlignment="1">
      <alignment horizontal="center"/>
    </xf>
    <xf numFmtId="49" fontId="44" fillId="4" borderId="91" xfId="0" applyNumberFormat="1" applyFont="1" applyFill="1" applyBorder="1" applyAlignment="1">
      <alignment horizontal="left" vertical="center" wrapText="1"/>
    </xf>
    <xf numFmtId="49" fontId="44" fillId="4" borderId="3" xfId="0" applyNumberFormat="1" applyFont="1" applyFill="1" applyBorder="1" applyAlignment="1">
      <alignment horizontal="left" vertical="center" wrapText="1"/>
    </xf>
    <xf numFmtId="49" fontId="44" fillId="4" borderId="92" xfId="0" applyNumberFormat="1" applyFont="1" applyFill="1" applyBorder="1" applyAlignment="1">
      <alignment horizontal="left" vertical="center" wrapText="1"/>
    </xf>
    <xf numFmtId="49" fontId="44" fillId="4" borderId="4" xfId="0" applyNumberFormat="1" applyFont="1" applyFill="1" applyBorder="1" applyAlignment="1">
      <alignment horizontal="left" vertical="center" wrapText="1"/>
    </xf>
    <xf numFmtId="0" fontId="46" fillId="2" borderId="7"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54" fillId="4" borderId="3" xfId="0" applyFont="1" applyFill="1" applyBorder="1" applyAlignment="1" applyProtection="1">
      <alignment horizontal="center" vertical="center"/>
      <protection locked="0"/>
    </xf>
    <xf numFmtId="164" fontId="54" fillId="4" borderId="22" xfId="0" applyNumberFormat="1" applyFont="1" applyFill="1" applyBorder="1" applyAlignment="1" applyProtection="1">
      <alignment horizontal="center" vertical="center"/>
      <protection locked="0"/>
    </xf>
    <xf numFmtId="164" fontId="54" fillId="4" borderId="23" xfId="0" applyNumberFormat="1" applyFont="1" applyFill="1" applyBorder="1" applyAlignment="1" applyProtection="1">
      <alignment horizontal="center" vertical="center"/>
      <protection locked="0"/>
    </xf>
    <xf numFmtId="164" fontId="54" fillId="4" borderId="9" xfId="0" applyNumberFormat="1" applyFont="1" applyFill="1" applyBorder="1" applyAlignment="1" applyProtection="1">
      <alignment horizontal="center" vertical="center"/>
      <protection locked="0"/>
    </xf>
    <xf numFmtId="0" fontId="47" fillId="2" borderId="24" xfId="0" applyFont="1" applyFill="1" applyBorder="1" applyAlignment="1">
      <alignment horizontal="center" vertical="center" wrapText="1"/>
    </xf>
    <xf numFmtId="0" fontId="47" fillId="2" borderId="1" xfId="0" applyFont="1" applyFill="1" applyBorder="1" applyAlignment="1">
      <alignment horizontal="center" vertical="center" wrapText="1"/>
    </xf>
    <xf numFmtId="0" fontId="47" fillId="2" borderId="25" xfId="0" applyFont="1" applyFill="1" applyBorder="1" applyAlignment="1">
      <alignment horizontal="center" vertical="center" wrapText="1"/>
    </xf>
    <xf numFmtId="0" fontId="8" fillId="2" borderId="27" xfId="0" applyFont="1" applyFill="1" applyBorder="1" applyAlignment="1">
      <alignment horizontal="center" vertical="center"/>
    </xf>
    <xf numFmtId="0" fontId="8" fillId="2" borderId="28" xfId="0" applyFont="1" applyFill="1" applyBorder="1" applyAlignment="1">
      <alignment horizontal="center" vertical="center"/>
    </xf>
    <xf numFmtId="0" fontId="8" fillId="2" borderId="29" xfId="0" applyFont="1" applyFill="1" applyBorder="1" applyAlignment="1">
      <alignment horizontal="center" vertical="center"/>
    </xf>
    <xf numFmtId="49" fontId="44" fillId="4" borderId="90" xfId="0" applyNumberFormat="1" applyFont="1" applyFill="1" applyBorder="1" applyAlignment="1">
      <alignment horizontal="left" vertical="center" wrapText="1"/>
    </xf>
    <xf numFmtId="49" fontId="44" fillId="4" borderId="2" xfId="0" applyNumberFormat="1" applyFont="1" applyFill="1" applyBorder="1" applyAlignment="1">
      <alignment horizontal="left" vertical="center" wrapText="1"/>
    </xf>
    <xf numFmtId="49" fontId="0" fillId="4" borderId="2" xfId="0" applyNumberFormat="1" applyFill="1" applyBorder="1" applyAlignment="1" applyProtection="1">
      <alignment horizontal="center" vertical="top" wrapText="1"/>
      <protection locked="0"/>
    </xf>
    <xf numFmtId="49" fontId="0" fillId="4" borderId="84" xfId="0" applyNumberFormat="1" applyFill="1" applyBorder="1" applyAlignment="1" applyProtection="1">
      <alignment horizontal="center" vertical="top" wrapText="1"/>
      <protection locked="0"/>
    </xf>
    <xf numFmtId="49" fontId="0" fillId="4" borderId="3" xfId="0" applyNumberFormat="1" applyFill="1" applyBorder="1" applyAlignment="1" applyProtection="1">
      <alignment horizontal="center" vertical="top" wrapText="1"/>
      <protection locked="0"/>
    </xf>
    <xf numFmtId="49" fontId="0" fillId="4" borderId="85" xfId="0" applyNumberFormat="1" applyFill="1" applyBorder="1" applyAlignment="1" applyProtection="1">
      <alignment horizontal="center" vertical="top" wrapText="1"/>
      <protection locked="0"/>
    </xf>
    <xf numFmtId="49" fontId="0" fillId="4" borderId="4" xfId="0" applyNumberFormat="1" applyFill="1" applyBorder="1" applyAlignment="1" applyProtection="1">
      <alignment horizontal="center" vertical="top" wrapText="1"/>
      <protection locked="0"/>
    </xf>
    <xf numFmtId="49" fontId="0" fillId="4" borderId="86" xfId="0" applyNumberFormat="1" applyFill="1" applyBorder="1" applyAlignment="1" applyProtection="1">
      <alignment horizontal="center" vertical="top" wrapText="1"/>
      <protection locked="0"/>
    </xf>
  </cellXfs>
  <cellStyles count="5">
    <cellStyle name="Normal" xfId="0" builtinId="0"/>
    <cellStyle name="Normal - Style1 2" xfId="3" xr:uid="{00000000-0005-0000-0000-000001000000}"/>
    <cellStyle name="Normal 2" xfId="2" xr:uid="{00000000-0005-0000-0000-000002000000}"/>
    <cellStyle name="Normal 2 2" xfId="4" xr:uid="{00000000-0005-0000-0000-000003000000}"/>
    <cellStyle name="Porcentaje" xfId="1" builtinId="5"/>
  </cellStyles>
  <dxfs count="20">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1050132</xdr:colOff>
      <xdr:row>0</xdr:row>
      <xdr:rowOff>66818</xdr:rowOff>
    </xdr:from>
    <xdr:to>
      <xdr:col>7</xdr:col>
      <xdr:colOff>1393032</xdr:colOff>
      <xdr:row>11</xdr:row>
      <xdr:rowOff>47624</xdr:rowOff>
    </xdr:to>
    <xdr:pic>
      <xdr:nvPicPr>
        <xdr:cNvPr id="2" name="Imagen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169945" y="66818"/>
          <a:ext cx="3676650" cy="2338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281667</xdr:colOff>
      <xdr:row>7</xdr:row>
      <xdr:rowOff>102768</xdr:rowOff>
    </xdr:from>
    <xdr:to>
      <xdr:col>6</xdr:col>
      <xdr:colOff>595313</xdr:colOff>
      <xdr:row>16</xdr:row>
      <xdr:rowOff>372789</xdr:rowOff>
    </xdr:to>
    <xdr:pic>
      <xdr:nvPicPr>
        <xdr:cNvPr id="4"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4567917" y="2037534"/>
          <a:ext cx="3959935" cy="23486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ntiagom/Desktop/C:/Users/dell/Desktop/cesar/HISTORICOS/2020-04-22_Formato_informe_sci_parametrizado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Resultado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I54"/>
  <sheetViews>
    <sheetView topLeftCell="A19" zoomScale="120" zoomScaleNormal="120" workbookViewId="0">
      <selection activeCell="E26" sqref="E26"/>
    </sheetView>
  </sheetViews>
  <sheetFormatPr baseColWidth="10" defaultColWidth="0" defaultRowHeight="12.75" zeroHeight="1" x14ac:dyDescent="0.2"/>
  <cols>
    <col min="1" max="1" width="3.85546875" style="42" customWidth="1"/>
    <col min="2" max="2" width="15.28515625" style="42" customWidth="1"/>
    <col min="3" max="3" width="17.28515625" style="42" customWidth="1"/>
    <col min="4" max="4" width="28.42578125" style="42" customWidth="1"/>
    <col min="5" max="5" width="12.85546875" style="42" customWidth="1"/>
    <col min="6" max="6" width="47.140625" style="42" customWidth="1"/>
    <col min="7" max="7" width="21.42578125" style="42" customWidth="1"/>
    <col min="8" max="8" width="6.42578125" style="42" customWidth="1"/>
    <col min="9" max="9" width="2.42578125" style="42" customWidth="1"/>
    <col min="10" max="16384" width="11.42578125" style="42" hidden="1"/>
  </cols>
  <sheetData>
    <row r="1" spans="2:8" ht="13.5" thickBot="1" x14ac:dyDescent="0.25"/>
    <row r="2" spans="2:8" ht="73.5" customHeight="1" x14ac:dyDescent="0.2">
      <c r="B2" s="196" t="s">
        <v>0</v>
      </c>
      <c r="C2" s="197"/>
      <c r="D2" s="197"/>
      <c r="E2" s="197"/>
      <c r="F2" s="197"/>
      <c r="G2" s="197"/>
      <c r="H2" s="198"/>
    </row>
    <row r="3" spans="2:8" ht="65.25" customHeight="1" x14ac:dyDescent="0.2">
      <c r="B3" s="199" t="s">
        <v>1</v>
      </c>
      <c r="C3" s="200"/>
      <c r="D3" s="200"/>
      <c r="E3" s="200"/>
      <c r="F3" s="200"/>
      <c r="G3" s="200"/>
      <c r="H3" s="201"/>
    </row>
    <row r="4" spans="2:8" ht="82.5" customHeight="1" x14ac:dyDescent="0.2">
      <c r="B4" s="199"/>
      <c r="C4" s="200"/>
      <c r="D4" s="200"/>
      <c r="E4" s="200"/>
      <c r="F4" s="200"/>
      <c r="G4" s="200"/>
      <c r="H4" s="201"/>
    </row>
    <row r="5" spans="2:8" ht="21.75" customHeight="1" x14ac:dyDescent="0.2">
      <c r="B5" s="202" t="s">
        <v>2</v>
      </c>
      <c r="C5" s="203"/>
      <c r="D5" s="203"/>
      <c r="E5" s="203"/>
      <c r="F5" s="203"/>
      <c r="G5" s="203"/>
      <c r="H5" s="204"/>
    </row>
    <row r="6" spans="2:8" ht="42" customHeight="1" x14ac:dyDescent="0.2">
      <c r="B6" s="205" t="s">
        <v>3</v>
      </c>
      <c r="C6" s="206"/>
      <c r="D6" s="206"/>
      <c r="E6" s="206"/>
      <c r="F6" s="206"/>
      <c r="G6" s="206"/>
      <c r="H6" s="207"/>
    </row>
    <row r="7" spans="2:8" ht="14.25" customHeight="1" x14ac:dyDescent="0.2">
      <c r="B7" s="205"/>
      <c r="C7" s="206"/>
      <c r="D7" s="206"/>
      <c r="E7" s="206"/>
      <c r="F7" s="206"/>
      <c r="G7" s="206"/>
      <c r="H7" s="207"/>
    </row>
    <row r="8" spans="2:8" ht="12.75" customHeight="1" thickBot="1" x14ac:dyDescent="0.25">
      <c r="B8" s="54"/>
      <c r="C8" s="48"/>
      <c r="D8" s="63"/>
      <c r="E8" s="64"/>
      <c r="F8" s="64"/>
      <c r="G8" s="62"/>
      <c r="H8" s="56"/>
    </row>
    <row r="9" spans="2:8" ht="21" customHeight="1" thickTop="1" x14ac:dyDescent="0.2">
      <c r="B9" s="54"/>
      <c r="C9" s="208" t="s">
        <v>4</v>
      </c>
      <c r="D9" s="209"/>
      <c r="E9" s="210" t="s">
        <v>5</v>
      </c>
      <c r="F9" s="211"/>
      <c r="G9" s="48"/>
      <c r="H9" s="56"/>
    </row>
    <row r="10" spans="2:8" ht="37.5" customHeight="1" x14ac:dyDescent="0.2">
      <c r="B10" s="54"/>
      <c r="C10" s="188" t="s">
        <v>6</v>
      </c>
      <c r="D10" s="189"/>
      <c r="E10" s="190" t="s">
        <v>7</v>
      </c>
      <c r="F10" s="191"/>
      <c r="G10" s="48"/>
      <c r="H10" s="56"/>
    </row>
    <row r="11" spans="2:8" ht="39.75" customHeight="1" x14ac:dyDescent="0.2">
      <c r="B11" s="54"/>
      <c r="C11" s="192" t="s">
        <v>8</v>
      </c>
      <c r="D11" s="193"/>
      <c r="E11" s="169" t="s">
        <v>9</v>
      </c>
      <c r="F11" s="170"/>
      <c r="G11" s="48"/>
      <c r="H11" s="56"/>
    </row>
    <row r="12" spans="2:8" ht="59.25" customHeight="1" x14ac:dyDescent="0.2">
      <c r="B12" s="54"/>
      <c r="C12" s="192" t="s">
        <v>10</v>
      </c>
      <c r="D12" s="193"/>
      <c r="E12" s="194" t="s">
        <v>11</v>
      </c>
      <c r="F12" s="195"/>
      <c r="G12" s="48"/>
      <c r="H12" s="56"/>
    </row>
    <row r="13" spans="2:8" ht="33.75" customHeight="1" x14ac:dyDescent="0.2">
      <c r="B13" s="54"/>
      <c r="C13" s="167" t="s">
        <v>12</v>
      </c>
      <c r="D13" s="168"/>
      <c r="E13" s="169" t="s">
        <v>13</v>
      </c>
      <c r="F13" s="170"/>
      <c r="G13" s="48"/>
      <c r="H13" s="56"/>
    </row>
    <row r="14" spans="2:8" ht="19.5" customHeight="1" x14ac:dyDescent="0.2">
      <c r="B14" s="54"/>
      <c r="C14" s="60"/>
      <c r="D14" s="60"/>
      <c r="E14" s="61"/>
      <c r="F14" s="61"/>
      <c r="G14" s="48"/>
      <c r="H14" s="56"/>
    </row>
    <row r="15" spans="2:8" ht="37.5" customHeight="1" thickBot="1" x14ac:dyDescent="0.25">
      <c r="B15" s="163" t="s">
        <v>14</v>
      </c>
      <c r="C15" s="164"/>
      <c r="D15" s="164"/>
      <c r="E15" s="164"/>
      <c r="F15" s="164"/>
      <c r="G15" s="164"/>
      <c r="H15" s="165"/>
    </row>
    <row r="16" spans="2:8" ht="27.75" customHeight="1" thickBot="1" x14ac:dyDescent="0.25">
      <c r="B16" s="54"/>
      <c r="C16" s="171" t="s">
        <v>15</v>
      </c>
      <c r="D16" s="172"/>
      <c r="E16" s="172" t="s">
        <v>16</v>
      </c>
      <c r="F16" s="183"/>
      <c r="G16" s="48"/>
      <c r="H16" s="56"/>
    </row>
    <row r="17" spans="2:8" ht="27.75" customHeight="1" x14ac:dyDescent="0.2">
      <c r="B17" s="54"/>
      <c r="C17" s="184" t="s">
        <v>17</v>
      </c>
      <c r="D17" s="185"/>
      <c r="E17" s="186" t="s">
        <v>18</v>
      </c>
      <c r="F17" s="187"/>
      <c r="G17" s="85"/>
      <c r="H17" s="56"/>
    </row>
    <row r="18" spans="2:8" ht="41.25" customHeight="1" x14ac:dyDescent="0.2">
      <c r="B18" s="54"/>
      <c r="C18" s="173" t="s">
        <v>19</v>
      </c>
      <c r="D18" s="174"/>
      <c r="E18" s="175" t="s">
        <v>20</v>
      </c>
      <c r="F18" s="176"/>
      <c r="G18" s="86"/>
      <c r="H18" s="56"/>
    </row>
    <row r="19" spans="2:8" ht="37.5" customHeight="1" thickBot="1" x14ac:dyDescent="0.25">
      <c r="B19" s="54"/>
      <c r="C19" s="177" t="s">
        <v>21</v>
      </c>
      <c r="D19" s="178"/>
      <c r="E19" s="179" t="s">
        <v>22</v>
      </c>
      <c r="F19" s="180"/>
      <c r="G19" s="86"/>
      <c r="H19" s="56"/>
    </row>
    <row r="20" spans="2:8" ht="11.25" customHeight="1" x14ac:dyDescent="0.2">
      <c r="B20" s="49"/>
      <c r="C20" s="50"/>
      <c r="D20" s="50"/>
      <c r="E20" s="50"/>
      <c r="F20" s="50"/>
      <c r="G20" s="50"/>
      <c r="H20" s="51"/>
    </row>
    <row r="21" spans="2:8" ht="14.25" customHeight="1" x14ac:dyDescent="0.2">
      <c r="B21" s="52"/>
      <c r="C21" s="181"/>
      <c r="D21" s="181"/>
      <c r="E21" s="182"/>
      <c r="F21" s="182"/>
      <c r="G21" s="182"/>
      <c r="H21" s="53"/>
    </row>
    <row r="22" spans="2:8" ht="36" customHeight="1" x14ac:dyDescent="0.2">
      <c r="B22" s="163" t="s">
        <v>23</v>
      </c>
      <c r="C22" s="164"/>
      <c r="D22" s="164"/>
      <c r="E22" s="164"/>
      <c r="F22" s="164"/>
      <c r="G22" s="164"/>
      <c r="H22" s="165"/>
    </row>
    <row r="23" spans="2:8" ht="13.5" x14ac:dyDescent="0.2">
      <c r="B23" s="54"/>
      <c r="C23" s="55"/>
      <c r="D23" s="55"/>
      <c r="E23" s="166"/>
      <c r="F23" s="166"/>
      <c r="G23" s="48"/>
      <c r="H23" s="56"/>
    </row>
    <row r="24" spans="2:8" ht="13.5" thickBot="1" x14ac:dyDescent="0.25">
      <c r="B24" s="57"/>
      <c r="C24" s="58"/>
      <c r="D24" s="58"/>
      <c r="E24" s="58"/>
      <c r="F24" s="58"/>
      <c r="G24" s="58"/>
      <c r="H24" s="59"/>
    </row>
    <row r="25" spans="2:8" x14ac:dyDescent="0.2"/>
    <row r="26" spans="2:8" ht="29.25" customHeight="1" x14ac:dyDescent="0.2"/>
    <row r="27" spans="2:8" ht="26.25" customHeight="1" x14ac:dyDescent="0.2"/>
    <row r="28" spans="2:8" ht="43.5" customHeight="1" x14ac:dyDescent="0.2"/>
    <row r="29" spans="2:8" ht="53.25" customHeight="1" x14ac:dyDescent="0.2"/>
    <row r="30" spans="2:8" x14ac:dyDescent="0.2"/>
    <row r="31" spans="2:8" x14ac:dyDescent="0.2"/>
    <row r="32" spans="2:8" x14ac:dyDescent="0.2"/>
    <row r="33" x14ac:dyDescent="0.2"/>
    <row r="34" x14ac:dyDescent="0.2"/>
    <row r="35"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x14ac:dyDescent="0.2"/>
    <row r="52" x14ac:dyDescent="0.2"/>
    <row r="54" x14ac:dyDescent="0.2"/>
  </sheetData>
  <sheetProtection algorithmName="SHA-512" hashValue="t7sIeOvFa2bhukBsHVcHmO5gG9cifT20ZR8W/o5PL1FLs7w8K+KkEm6wLVbMVfYFM8W9luBRuNKu+qdhAWPM7w==" saltValue="H/shNuEdnFDauevCofk8Sw==" spinCount="100000" sheet="1" objects="1" scenarios="1"/>
  <mergeCells count="27">
    <mergeCell ref="B2:H2"/>
    <mergeCell ref="B3:H4"/>
    <mergeCell ref="B5:H5"/>
    <mergeCell ref="B6:H7"/>
    <mergeCell ref="C9:D9"/>
    <mergeCell ref="E9:F9"/>
    <mergeCell ref="C10:D10"/>
    <mergeCell ref="E10:F10"/>
    <mergeCell ref="C11:D11"/>
    <mergeCell ref="E11:F11"/>
    <mergeCell ref="C12:D12"/>
    <mergeCell ref="E12:F12"/>
    <mergeCell ref="B22:H22"/>
    <mergeCell ref="E23:F23"/>
    <mergeCell ref="C13:D13"/>
    <mergeCell ref="E13:F13"/>
    <mergeCell ref="C16:D16"/>
    <mergeCell ref="C18:D18"/>
    <mergeCell ref="E18:F18"/>
    <mergeCell ref="C19:D19"/>
    <mergeCell ref="E19:F19"/>
    <mergeCell ref="C21:D21"/>
    <mergeCell ref="E21:G21"/>
    <mergeCell ref="B15:H15"/>
    <mergeCell ref="E16:F16"/>
    <mergeCell ref="C17:D17"/>
    <mergeCell ref="E17:F17"/>
  </mergeCell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F59"/>
  <sheetViews>
    <sheetView showGridLines="0" view="pageBreakPreview" topLeftCell="B49" zoomScale="80" zoomScaleNormal="80" zoomScaleSheetLayoutView="80" workbookViewId="0">
      <selection activeCell="I56" sqref="I56"/>
    </sheetView>
  </sheetViews>
  <sheetFormatPr baseColWidth="10" defaultColWidth="11.42578125" defaultRowHeight="16.5" x14ac:dyDescent="0.3"/>
  <cols>
    <col min="1" max="1" width="3" style="44" hidden="1" customWidth="1"/>
    <col min="2" max="2" width="9.42578125" style="44" customWidth="1"/>
    <col min="3" max="3" width="25.42578125" style="44" customWidth="1"/>
    <col min="4" max="4" width="46.42578125" style="44" customWidth="1"/>
    <col min="5" max="5" width="10.140625" style="66" customWidth="1"/>
    <col min="6" max="6" width="34.42578125" style="66" customWidth="1"/>
    <col min="7" max="7" width="15.42578125" style="44" customWidth="1"/>
    <col min="8" max="8" width="57.5703125" style="44" customWidth="1"/>
    <col min="9" max="9" width="43" style="44" customWidth="1"/>
    <col min="10" max="12" width="11.42578125" style="69" customWidth="1"/>
    <col min="13" max="24" width="11.42578125" style="44" customWidth="1"/>
    <col min="25" max="16384" width="11.42578125" style="44"/>
  </cols>
  <sheetData>
    <row r="1" spans="1:32" x14ac:dyDescent="0.3">
      <c r="B1" s="43"/>
      <c r="C1" s="43"/>
      <c r="D1" s="43"/>
      <c r="E1" s="65"/>
      <c r="F1" s="65"/>
      <c r="G1" s="43"/>
      <c r="H1" s="43"/>
      <c r="I1" s="43"/>
      <c r="J1" s="67"/>
      <c r="K1" s="67"/>
      <c r="L1" s="67"/>
      <c r="M1" s="43"/>
      <c r="N1" s="43"/>
      <c r="O1" s="43"/>
      <c r="P1" s="43"/>
      <c r="Q1" s="43"/>
      <c r="R1" s="43"/>
      <c r="S1" s="43"/>
      <c r="T1" s="43"/>
      <c r="U1" s="43"/>
      <c r="V1" s="43"/>
      <c r="W1" s="43"/>
      <c r="X1" s="43"/>
    </row>
    <row r="2" spans="1:32" x14ac:dyDescent="0.3">
      <c r="B2" s="43"/>
      <c r="C2" s="43"/>
      <c r="D2" s="43"/>
      <c r="E2" s="65"/>
      <c r="F2" s="65"/>
      <c r="G2" s="43"/>
      <c r="H2" s="43"/>
      <c r="I2" s="43"/>
      <c r="J2" s="67"/>
      <c r="K2" s="67"/>
      <c r="L2" s="67"/>
      <c r="M2" s="43"/>
      <c r="N2" s="43"/>
      <c r="O2" s="43"/>
      <c r="P2" s="43"/>
      <c r="Q2" s="43"/>
      <c r="R2" s="43"/>
      <c r="S2" s="43"/>
      <c r="T2" s="43"/>
      <c r="U2" s="43"/>
      <c r="V2" s="43"/>
      <c r="W2" s="43"/>
      <c r="X2" s="43"/>
    </row>
    <row r="3" spans="1:32" x14ac:dyDescent="0.3">
      <c r="B3" s="43"/>
      <c r="C3" s="43"/>
      <c r="D3" s="43"/>
      <c r="E3" s="65"/>
      <c r="F3" s="65"/>
      <c r="G3" s="43"/>
      <c r="H3" s="43"/>
      <c r="I3" s="43"/>
      <c r="J3" s="67"/>
      <c r="K3" s="67"/>
      <c r="L3" s="67"/>
      <c r="M3" s="43"/>
      <c r="N3" s="43"/>
      <c r="O3" s="43"/>
      <c r="P3" s="43"/>
      <c r="Q3" s="43"/>
      <c r="R3" s="43"/>
      <c r="S3" s="43"/>
      <c r="T3" s="43"/>
      <c r="U3" s="43"/>
      <c r="V3" s="43"/>
      <c r="W3" s="43"/>
      <c r="X3" s="43"/>
    </row>
    <row r="4" spans="1:32" x14ac:dyDescent="0.3">
      <c r="B4" s="43"/>
      <c r="C4" s="43"/>
      <c r="D4" s="43"/>
      <c r="E4" s="65"/>
      <c r="F4" s="65"/>
      <c r="G4" s="43"/>
      <c r="H4" s="43"/>
      <c r="I4" s="43"/>
      <c r="J4" s="67"/>
      <c r="K4" s="67"/>
      <c r="L4" s="67"/>
      <c r="M4" s="43"/>
      <c r="N4" s="43"/>
      <c r="O4" s="43"/>
      <c r="P4" s="43"/>
      <c r="Q4" s="43"/>
      <c r="R4" s="43"/>
      <c r="S4" s="43"/>
      <c r="T4" s="43"/>
      <c r="U4" s="43"/>
      <c r="V4" s="43"/>
      <c r="W4" s="43"/>
      <c r="X4" s="43"/>
    </row>
    <row r="5" spans="1:32" x14ac:dyDescent="0.3">
      <c r="B5" s="43"/>
      <c r="C5" s="43"/>
      <c r="D5" s="43"/>
      <c r="E5" s="65"/>
      <c r="F5" s="65"/>
      <c r="G5" s="43"/>
      <c r="H5" s="43"/>
      <c r="I5" s="43"/>
      <c r="J5" s="67"/>
      <c r="K5" s="67"/>
      <c r="L5" s="67"/>
      <c r="M5" s="43"/>
      <c r="N5" s="43"/>
      <c r="O5" s="43"/>
      <c r="P5" s="43"/>
      <c r="Q5" s="43"/>
      <c r="R5" s="43"/>
      <c r="S5" s="43"/>
      <c r="T5" s="43"/>
      <c r="U5" s="43"/>
      <c r="V5" s="43"/>
      <c r="W5" s="43"/>
      <c r="X5" s="43"/>
    </row>
    <row r="6" spans="1:32" x14ac:dyDescent="0.3">
      <c r="B6" s="43"/>
      <c r="C6" s="43"/>
      <c r="D6" s="43"/>
      <c r="E6" s="65"/>
      <c r="F6" s="65"/>
      <c r="G6" s="43"/>
      <c r="H6" s="43"/>
      <c r="I6" s="43"/>
      <c r="J6" s="67"/>
      <c r="K6" s="67"/>
      <c r="L6" s="67"/>
      <c r="M6" s="43"/>
      <c r="N6" s="43"/>
      <c r="O6" s="43"/>
      <c r="P6" s="43"/>
      <c r="Q6" s="43"/>
      <c r="R6" s="43"/>
      <c r="S6" s="43"/>
      <c r="T6" s="43"/>
      <c r="U6" s="43"/>
      <c r="V6" s="43"/>
      <c r="W6" s="43"/>
      <c r="X6" s="43"/>
    </row>
    <row r="7" spans="1:32" x14ac:dyDescent="0.3">
      <c r="B7" s="43"/>
      <c r="C7" s="43"/>
      <c r="D7" s="43"/>
      <c r="E7" s="65"/>
      <c r="F7" s="65"/>
      <c r="G7" s="43"/>
      <c r="H7" s="43"/>
      <c r="I7" s="43"/>
      <c r="J7" s="67"/>
      <c r="K7" s="67"/>
      <c r="L7" s="67"/>
      <c r="M7" s="43"/>
      <c r="N7" s="43"/>
      <c r="O7" s="43"/>
      <c r="P7" s="43"/>
      <c r="Q7" s="43"/>
      <c r="R7" s="43"/>
      <c r="S7" s="43"/>
      <c r="T7" s="43"/>
      <c r="U7" s="43"/>
      <c r="V7" s="43"/>
      <c r="W7" s="43"/>
      <c r="X7" s="43"/>
    </row>
    <row r="8" spans="1:32" x14ac:dyDescent="0.3">
      <c r="B8" s="43"/>
      <c r="C8" s="43"/>
      <c r="D8" s="43"/>
      <c r="E8" s="65"/>
      <c r="F8" s="65"/>
      <c r="G8" s="43"/>
      <c r="H8" s="43"/>
      <c r="I8" s="43"/>
      <c r="J8" s="67"/>
      <c r="K8" s="67"/>
      <c r="L8" s="67"/>
      <c r="M8" s="43"/>
      <c r="N8" s="43"/>
      <c r="O8" s="43"/>
      <c r="P8" s="43"/>
      <c r="Q8" s="43"/>
      <c r="R8" s="43"/>
      <c r="S8" s="43"/>
      <c r="T8" s="43"/>
      <c r="U8" s="43"/>
      <c r="V8" s="43"/>
      <c r="W8" s="43"/>
      <c r="X8" s="43"/>
    </row>
    <row r="9" spans="1:32" x14ac:dyDescent="0.3">
      <c r="B9" s="43"/>
      <c r="C9" s="43"/>
      <c r="D9" s="43"/>
      <c r="E9" s="65"/>
      <c r="F9" s="65"/>
      <c r="G9" s="43"/>
      <c r="H9" s="43"/>
      <c r="I9" s="43"/>
      <c r="J9" s="67"/>
      <c r="K9" s="67"/>
      <c r="L9" s="67"/>
      <c r="M9" s="43"/>
      <c r="N9" s="43"/>
      <c r="O9" s="43"/>
      <c r="P9" s="43"/>
      <c r="Q9" s="43"/>
      <c r="R9" s="43"/>
      <c r="S9" s="43"/>
      <c r="T9" s="43"/>
      <c r="U9" s="43"/>
      <c r="V9" s="43"/>
      <c r="W9" s="43"/>
      <c r="X9" s="43"/>
    </row>
    <row r="10" spans="1:32" x14ac:dyDescent="0.3">
      <c r="B10" s="43"/>
      <c r="C10" s="43"/>
      <c r="D10" s="43"/>
      <c r="E10" s="65"/>
      <c r="F10" s="65"/>
      <c r="G10" s="43"/>
      <c r="H10" s="43"/>
      <c r="I10" s="43"/>
      <c r="J10" s="67"/>
      <c r="K10" s="67"/>
      <c r="L10" s="67"/>
      <c r="M10" s="43"/>
      <c r="N10" s="43"/>
      <c r="O10" s="43"/>
      <c r="P10" s="43"/>
      <c r="Q10" s="43"/>
      <c r="R10" s="43"/>
      <c r="S10" s="43"/>
      <c r="T10" s="43"/>
      <c r="U10" s="43"/>
      <c r="V10" s="43"/>
      <c r="W10" s="43"/>
      <c r="X10" s="43"/>
    </row>
    <row r="11" spans="1:32" x14ac:dyDescent="0.3">
      <c r="B11" s="43"/>
      <c r="C11" s="43"/>
      <c r="D11" s="43"/>
      <c r="E11" s="65"/>
      <c r="F11" s="65"/>
      <c r="G11" s="43"/>
      <c r="H11" s="43"/>
      <c r="I11" s="43"/>
      <c r="J11" s="67"/>
      <c r="K11" s="67"/>
      <c r="L11" s="67"/>
      <c r="M11" s="43"/>
      <c r="N11" s="43"/>
      <c r="O11" s="43"/>
      <c r="P11" s="43"/>
      <c r="Q11" s="43"/>
      <c r="R11" s="43"/>
      <c r="S11" s="43"/>
      <c r="T11" s="43"/>
      <c r="U11" s="43"/>
      <c r="V11" s="43"/>
      <c r="W11" s="43"/>
      <c r="X11" s="43"/>
    </row>
    <row r="12" spans="1:32" x14ac:dyDescent="0.3">
      <c r="B12" s="43"/>
      <c r="C12" s="43"/>
      <c r="D12" s="43"/>
      <c r="E12" s="65"/>
      <c r="F12" s="65"/>
      <c r="G12" s="43"/>
      <c r="H12" s="43"/>
      <c r="I12" s="43"/>
      <c r="J12" s="67"/>
      <c r="K12" s="67"/>
      <c r="L12" s="67"/>
      <c r="M12" s="43"/>
      <c r="N12" s="43"/>
      <c r="O12" s="43"/>
      <c r="P12" s="43"/>
      <c r="Q12" s="43"/>
      <c r="R12" s="43"/>
      <c r="S12" s="43"/>
      <c r="T12" s="43"/>
      <c r="U12" s="43"/>
      <c r="V12" s="43"/>
      <c r="W12" s="43"/>
      <c r="X12" s="43"/>
    </row>
    <row r="13" spans="1:32" ht="17.25" thickBot="1" x14ac:dyDescent="0.35">
      <c r="B13" s="43"/>
      <c r="C13" s="43"/>
      <c r="D13" s="43"/>
      <c r="E13" s="65"/>
      <c r="F13" s="65"/>
      <c r="G13" s="43"/>
      <c r="H13" s="43"/>
      <c r="I13" s="43"/>
      <c r="J13" s="67"/>
      <c r="K13" s="67"/>
      <c r="L13" s="67"/>
      <c r="M13" s="43"/>
      <c r="N13" s="43"/>
      <c r="O13" s="43"/>
      <c r="P13" s="43"/>
      <c r="Q13" s="43"/>
      <c r="R13" s="43"/>
      <c r="S13" s="43"/>
      <c r="T13" s="43"/>
      <c r="U13" s="43"/>
      <c r="V13" s="43"/>
      <c r="W13" s="43"/>
      <c r="X13" s="43"/>
    </row>
    <row r="14" spans="1:32" s="46" customFormat="1" ht="49.5" customHeight="1" thickBot="1" x14ac:dyDescent="0.3">
      <c r="B14" s="212" t="s">
        <v>24</v>
      </c>
      <c r="C14" s="213"/>
      <c r="D14" s="213"/>
      <c r="E14" s="213"/>
      <c r="F14" s="213"/>
      <c r="G14" s="213"/>
      <c r="H14" s="213"/>
      <c r="I14" s="214"/>
      <c r="J14" s="68"/>
      <c r="K14" s="68"/>
      <c r="L14" s="68"/>
      <c r="M14" s="45"/>
      <c r="N14" s="45"/>
      <c r="O14" s="45"/>
      <c r="P14" s="45"/>
      <c r="Q14" s="45"/>
      <c r="R14" s="45"/>
      <c r="S14" s="45"/>
      <c r="T14" s="45"/>
      <c r="U14" s="45"/>
      <c r="V14" s="45"/>
      <c r="W14" s="45"/>
      <c r="X14" s="45"/>
      <c r="Y14" s="45"/>
      <c r="Z14" s="45"/>
      <c r="AA14" s="45"/>
      <c r="AB14" s="45"/>
      <c r="AC14" s="45"/>
      <c r="AD14" s="45"/>
      <c r="AE14" s="45"/>
      <c r="AF14" s="45"/>
    </row>
    <row r="15" spans="1:32" s="46" customFormat="1" ht="123.75" customHeight="1" thickBot="1" x14ac:dyDescent="0.3">
      <c r="B15" s="134" t="s">
        <v>25</v>
      </c>
      <c r="C15" s="135" t="s">
        <v>6</v>
      </c>
      <c r="D15" s="136" t="s">
        <v>8</v>
      </c>
      <c r="E15" s="137" t="s">
        <v>26</v>
      </c>
      <c r="F15" s="137" t="s">
        <v>27</v>
      </c>
      <c r="G15" s="137" t="s">
        <v>28</v>
      </c>
      <c r="H15" s="138" t="s">
        <v>29</v>
      </c>
      <c r="I15" s="138" t="s">
        <v>30</v>
      </c>
      <c r="J15" s="68"/>
      <c r="K15" s="68"/>
      <c r="L15" s="68"/>
      <c r="M15" s="45"/>
      <c r="N15" s="45"/>
      <c r="O15" s="45"/>
      <c r="P15" s="45"/>
      <c r="Q15" s="45"/>
      <c r="R15" s="45"/>
      <c r="S15" s="45"/>
      <c r="T15" s="45"/>
      <c r="U15" s="45"/>
      <c r="V15" s="45"/>
      <c r="W15" s="45"/>
      <c r="X15" s="45"/>
      <c r="Y15" s="45"/>
      <c r="Z15" s="45"/>
      <c r="AA15" s="45"/>
      <c r="AB15" s="45"/>
      <c r="AC15" s="45"/>
      <c r="AD15" s="45"/>
      <c r="AE15" s="45"/>
      <c r="AF15" s="45"/>
    </row>
    <row r="16" spans="1:32" s="46" customFormat="1" ht="115.5" customHeight="1" x14ac:dyDescent="0.25">
      <c r="A16" s="87" t="str">
        <f>1&amp;E16</f>
        <v>1a</v>
      </c>
      <c r="B16" s="230" t="s">
        <v>31</v>
      </c>
      <c r="C16" s="239" t="s">
        <v>32</v>
      </c>
      <c r="D16" s="227" t="s">
        <v>33</v>
      </c>
      <c r="E16" s="71" t="s">
        <v>34</v>
      </c>
      <c r="F16" s="119" t="s">
        <v>35</v>
      </c>
      <c r="G16" s="116" t="s">
        <v>39</v>
      </c>
      <c r="H16" s="123" t="s">
        <v>216</v>
      </c>
      <c r="I16" s="130" t="str">
        <f>+IF(G16="Si","Mantenimiento del control",IF(G16="En proceso","Oportunidad de mejora","Deficiencia de control"))</f>
        <v>Mantenimiento del control</v>
      </c>
      <c r="J16" s="88">
        <f t="shared" ref="J16:J27" si="0">+IF(G16="Si",20,IF(G16="En proceso",10,0))</f>
        <v>20</v>
      </c>
      <c r="K16" s="88">
        <v>0.123</v>
      </c>
      <c r="L16" s="88">
        <f>+J16+K16</f>
        <v>20.123000000000001</v>
      </c>
    </row>
    <row r="17" spans="1:32" s="46" customFormat="1" ht="112.5" customHeight="1" x14ac:dyDescent="0.25">
      <c r="A17" s="87" t="str">
        <f t="shared" ref="A17:A27" si="1">1&amp;E17</f>
        <v>1b</v>
      </c>
      <c r="B17" s="231"/>
      <c r="C17" s="240"/>
      <c r="D17" s="228"/>
      <c r="E17" s="72" t="s">
        <v>37</v>
      </c>
      <c r="F17" s="120" t="s">
        <v>38</v>
      </c>
      <c r="G17" s="117" t="s">
        <v>39</v>
      </c>
      <c r="H17" s="125" t="s">
        <v>210</v>
      </c>
      <c r="I17" s="133" t="str">
        <f t="shared" ref="I17:I59" si="2">+IF(G17="Si","Mantenimiento del control",IF(G17="En proceso","Oportunidad de mejora","Deficiencia de control"))</f>
        <v>Mantenimiento del control</v>
      </c>
      <c r="J17" s="89">
        <f t="shared" si="0"/>
        <v>20</v>
      </c>
      <c r="K17" s="88">
        <v>0.1234</v>
      </c>
      <c r="L17" s="88">
        <f t="shared" ref="L17:L59" si="3">+J17+K17</f>
        <v>20.1234</v>
      </c>
    </row>
    <row r="18" spans="1:32" s="46" customFormat="1" ht="105" customHeight="1" x14ac:dyDescent="0.25">
      <c r="A18" s="87" t="str">
        <f t="shared" si="1"/>
        <v>1c</v>
      </c>
      <c r="B18" s="231"/>
      <c r="C18" s="240"/>
      <c r="D18" s="228"/>
      <c r="E18" s="72" t="s">
        <v>40</v>
      </c>
      <c r="F18" s="121" t="s">
        <v>41</v>
      </c>
      <c r="G18" s="117" t="s">
        <v>39</v>
      </c>
      <c r="H18" s="126" t="s">
        <v>217</v>
      </c>
      <c r="I18" s="131" t="str">
        <f t="shared" si="2"/>
        <v>Mantenimiento del control</v>
      </c>
      <c r="J18" s="89">
        <f t="shared" si="0"/>
        <v>20</v>
      </c>
      <c r="K18" s="88">
        <v>0.12345</v>
      </c>
      <c r="L18" s="88">
        <f t="shared" si="3"/>
        <v>20.123449999999998</v>
      </c>
    </row>
    <row r="19" spans="1:32" s="46" customFormat="1" ht="84.75" customHeight="1" x14ac:dyDescent="0.25">
      <c r="A19" s="87" t="str">
        <f t="shared" si="1"/>
        <v>1d</v>
      </c>
      <c r="B19" s="231"/>
      <c r="C19" s="240"/>
      <c r="D19" s="228"/>
      <c r="E19" s="72" t="s">
        <v>42</v>
      </c>
      <c r="F19" s="121" t="s">
        <v>43</v>
      </c>
      <c r="G19" s="117" t="s">
        <v>39</v>
      </c>
      <c r="H19" s="126" t="s">
        <v>211</v>
      </c>
      <c r="I19" s="131" t="str">
        <f t="shared" si="2"/>
        <v>Mantenimiento del control</v>
      </c>
      <c r="J19" s="89">
        <f t="shared" si="0"/>
        <v>20</v>
      </c>
      <c r="K19" s="88">
        <v>0.123456</v>
      </c>
      <c r="L19" s="88">
        <f t="shared" si="3"/>
        <v>20.123456000000001</v>
      </c>
    </row>
    <row r="20" spans="1:32" s="46" customFormat="1" ht="62.25" customHeight="1" x14ac:dyDescent="0.25">
      <c r="A20" s="87" t="str">
        <f t="shared" si="1"/>
        <v>1e</v>
      </c>
      <c r="B20" s="231"/>
      <c r="C20" s="240"/>
      <c r="D20" s="228"/>
      <c r="E20" s="72" t="s">
        <v>44</v>
      </c>
      <c r="F20" s="121" t="s">
        <v>45</v>
      </c>
      <c r="G20" s="117" t="s">
        <v>76</v>
      </c>
      <c r="H20" s="126" t="s">
        <v>212</v>
      </c>
      <c r="I20" s="131" t="str">
        <f t="shared" si="2"/>
        <v>Oportunidad de mejora</v>
      </c>
      <c r="J20" s="89">
        <f t="shared" si="0"/>
        <v>10</v>
      </c>
      <c r="K20" s="88">
        <v>0.12345678</v>
      </c>
      <c r="L20" s="88">
        <f t="shared" si="3"/>
        <v>10.12345678</v>
      </c>
    </row>
    <row r="21" spans="1:32" s="46" customFormat="1" ht="111.75" customHeight="1" x14ac:dyDescent="0.25">
      <c r="A21" s="87" t="str">
        <f t="shared" si="1"/>
        <v>1f</v>
      </c>
      <c r="B21" s="231"/>
      <c r="C21" s="240"/>
      <c r="D21" s="228"/>
      <c r="E21" s="72" t="s">
        <v>46</v>
      </c>
      <c r="F21" s="121" t="s">
        <v>47</v>
      </c>
      <c r="G21" s="117" t="s">
        <v>76</v>
      </c>
      <c r="H21" s="126" t="s">
        <v>213</v>
      </c>
      <c r="I21" s="131" t="str">
        <f t="shared" si="2"/>
        <v>Oportunidad de mejora</v>
      </c>
      <c r="J21" s="89">
        <f t="shared" si="0"/>
        <v>10</v>
      </c>
      <c r="K21" s="88">
        <v>0.123456789</v>
      </c>
      <c r="L21" s="88">
        <f t="shared" si="3"/>
        <v>10.123456789</v>
      </c>
    </row>
    <row r="22" spans="1:32" s="46" customFormat="1" ht="115.5" customHeight="1" x14ac:dyDescent="0.25">
      <c r="A22" s="87" t="str">
        <f t="shared" si="1"/>
        <v>1g</v>
      </c>
      <c r="B22" s="231"/>
      <c r="C22" s="240"/>
      <c r="D22" s="228"/>
      <c r="E22" s="72" t="s">
        <v>48</v>
      </c>
      <c r="F22" s="121" t="s">
        <v>49</v>
      </c>
      <c r="G22" s="117" t="s">
        <v>39</v>
      </c>
      <c r="H22" s="126" t="s">
        <v>191</v>
      </c>
      <c r="I22" s="131" t="str">
        <f t="shared" si="2"/>
        <v>Mantenimiento del control</v>
      </c>
      <c r="J22" s="89">
        <f t="shared" si="0"/>
        <v>20</v>
      </c>
      <c r="K22" s="88">
        <v>0.12345678910000001</v>
      </c>
      <c r="L22" s="88">
        <f t="shared" si="3"/>
        <v>20.1234567891</v>
      </c>
    </row>
    <row r="23" spans="1:32" s="46" customFormat="1" ht="103.5" customHeight="1" x14ac:dyDescent="0.25">
      <c r="A23" s="87" t="str">
        <f t="shared" si="1"/>
        <v>1h</v>
      </c>
      <c r="B23" s="231"/>
      <c r="C23" s="240"/>
      <c r="D23" s="228"/>
      <c r="E23" s="72" t="s">
        <v>50</v>
      </c>
      <c r="F23" s="121" t="s">
        <v>51</v>
      </c>
      <c r="G23" s="117" t="s">
        <v>39</v>
      </c>
      <c r="H23" s="126" t="s">
        <v>218</v>
      </c>
      <c r="I23" s="131" t="str">
        <f t="shared" si="2"/>
        <v>Mantenimiento del control</v>
      </c>
      <c r="J23" s="89">
        <f t="shared" si="0"/>
        <v>20</v>
      </c>
      <c r="K23" s="88">
        <v>0.12345678911999999</v>
      </c>
      <c r="L23" s="88">
        <f t="shared" si="3"/>
        <v>20.123456789119999</v>
      </c>
    </row>
    <row r="24" spans="1:32" s="46" customFormat="1" ht="83.25" customHeight="1" x14ac:dyDescent="0.25">
      <c r="A24" s="87" t="str">
        <f t="shared" si="1"/>
        <v>1i</v>
      </c>
      <c r="B24" s="231"/>
      <c r="C24" s="240"/>
      <c r="D24" s="228"/>
      <c r="E24" s="72" t="s">
        <v>52</v>
      </c>
      <c r="F24" s="121" t="s">
        <v>53</v>
      </c>
      <c r="G24" s="117" t="s">
        <v>36</v>
      </c>
      <c r="H24" s="126" t="s">
        <v>192</v>
      </c>
      <c r="I24" s="131" t="str">
        <f t="shared" si="2"/>
        <v>Deficiencia de control</v>
      </c>
      <c r="J24" s="89">
        <f t="shared" si="0"/>
        <v>0</v>
      </c>
      <c r="K24" s="88">
        <v>0.123456789123</v>
      </c>
      <c r="L24" s="88">
        <f t="shared" si="3"/>
        <v>0.123456789123</v>
      </c>
    </row>
    <row r="25" spans="1:32" s="46" customFormat="1" ht="80.25" customHeight="1" x14ac:dyDescent="0.25">
      <c r="A25" s="87" t="str">
        <f t="shared" si="1"/>
        <v>1j</v>
      </c>
      <c r="B25" s="231"/>
      <c r="C25" s="240"/>
      <c r="D25" s="228"/>
      <c r="E25" s="72" t="s">
        <v>54</v>
      </c>
      <c r="F25" s="121" t="s">
        <v>55</v>
      </c>
      <c r="G25" s="117" t="s">
        <v>76</v>
      </c>
      <c r="H25" s="126" t="s">
        <v>219</v>
      </c>
      <c r="I25" s="131" t="str">
        <f t="shared" si="2"/>
        <v>Oportunidad de mejora</v>
      </c>
      <c r="J25" s="89">
        <f t="shared" si="0"/>
        <v>10</v>
      </c>
      <c r="K25" s="88">
        <v>0.1234567891234</v>
      </c>
      <c r="L25" s="88">
        <f t="shared" si="3"/>
        <v>10.1234567891234</v>
      </c>
    </row>
    <row r="26" spans="1:32" s="46" customFormat="1" ht="64.5" customHeight="1" x14ac:dyDescent="0.25">
      <c r="A26" s="87" t="str">
        <f t="shared" si="1"/>
        <v>1k</v>
      </c>
      <c r="B26" s="231"/>
      <c r="C26" s="240"/>
      <c r="D26" s="228"/>
      <c r="E26" s="72" t="s">
        <v>56</v>
      </c>
      <c r="F26" s="121" t="s">
        <v>57</v>
      </c>
      <c r="G26" s="117" t="s">
        <v>39</v>
      </c>
      <c r="H26" s="126" t="s">
        <v>220</v>
      </c>
      <c r="I26" s="131" t="str">
        <f t="shared" si="2"/>
        <v>Mantenimiento del control</v>
      </c>
      <c r="J26" s="89">
        <f t="shared" si="0"/>
        <v>20</v>
      </c>
      <c r="K26" s="88">
        <v>0.12345678912345</v>
      </c>
      <c r="L26" s="88">
        <f t="shared" si="3"/>
        <v>20.123456789123448</v>
      </c>
    </row>
    <row r="27" spans="1:32" s="46" customFormat="1" ht="66.75" customHeight="1" thickBot="1" x14ac:dyDescent="0.3">
      <c r="A27" s="87" t="str">
        <f t="shared" si="1"/>
        <v>1l</v>
      </c>
      <c r="B27" s="232"/>
      <c r="C27" s="241"/>
      <c r="D27" s="229"/>
      <c r="E27" s="73" t="s">
        <v>58</v>
      </c>
      <c r="F27" s="122" t="s">
        <v>59</v>
      </c>
      <c r="G27" s="118" t="s">
        <v>39</v>
      </c>
      <c r="H27" s="128" t="s">
        <v>221</v>
      </c>
      <c r="I27" s="132" t="str">
        <f t="shared" si="2"/>
        <v>Mantenimiento del control</v>
      </c>
      <c r="J27" s="89">
        <f t="shared" si="0"/>
        <v>20</v>
      </c>
      <c r="K27" s="88">
        <v>0.12345678912345601</v>
      </c>
      <c r="L27" s="88">
        <f t="shared" si="3"/>
        <v>20.123456789123455</v>
      </c>
    </row>
    <row r="28" spans="1:32" s="46" customFormat="1" ht="93.75" customHeight="1" thickBot="1" x14ac:dyDescent="0.3">
      <c r="A28" s="87" t="str">
        <f>2&amp;E28</f>
        <v>2a</v>
      </c>
      <c r="B28" s="233" t="s">
        <v>60</v>
      </c>
      <c r="C28" s="242" t="s">
        <v>61</v>
      </c>
      <c r="D28" s="236" t="s">
        <v>62</v>
      </c>
      <c r="E28" s="71" t="s">
        <v>34</v>
      </c>
      <c r="F28" s="119" t="s">
        <v>63</v>
      </c>
      <c r="G28" s="116" t="s">
        <v>39</v>
      </c>
      <c r="H28" s="123" t="s">
        <v>222</v>
      </c>
      <c r="I28" s="130" t="str">
        <f t="shared" si="2"/>
        <v>Mantenimiento del control</v>
      </c>
      <c r="J28" s="88">
        <f>+IF(G28="Si",40,IF(G28="En proceso",30,20))</f>
        <v>40</v>
      </c>
      <c r="K28" s="88">
        <v>0.23</v>
      </c>
      <c r="L28" s="88">
        <f t="shared" si="3"/>
        <v>40.229999999999997</v>
      </c>
    </row>
    <row r="29" spans="1:32" s="46" customFormat="1" ht="107.25" customHeight="1" x14ac:dyDescent="0.25">
      <c r="A29" s="87" t="str">
        <f t="shared" ref="A29:A31" si="4">2&amp;E29</f>
        <v>2b</v>
      </c>
      <c r="B29" s="234"/>
      <c r="C29" s="243"/>
      <c r="D29" s="237"/>
      <c r="E29" s="72" t="s">
        <v>37</v>
      </c>
      <c r="F29" s="121" t="s">
        <v>64</v>
      </c>
      <c r="G29" s="117" t="s">
        <v>39</v>
      </c>
      <c r="H29" s="123" t="s">
        <v>222</v>
      </c>
      <c r="I29" s="131" t="str">
        <f t="shared" si="2"/>
        <v>Mantenimiento del control</v>
      </c>
      <c r="J29" s="88">
        <f>+IF(G29="Si",40,IF(G29="En proceso",30,20))</f>
        <v>40</v>
      </c>
      <c r="K29" s="88">
        <v>0.23400000000000001</v>
      </c>
      <c r="L29" s="88">
        <f t="shared" si="3"/>
        <v>40.234000000000002</v>
      </c>
    </row>
    <row r="30" spans="1:32" s="46" customFormat="1" ht="78" customHeight="1" x14ac:dyDescent="0.25">
      <c r="A30" s="87" t="str">
        <f t="shared" si="4"/>
        <v>2c</v>
      </c>
      <c r="B30" s="234"/>
      <c r="C30" s="243"/>
      <c r="D30" s="237"/>
      <c r="E30" s="72" t="s">
        <v>40</v>
      </c>
      <c r="F30" s="121" t="s">
        <v>65</v>
      </c>
      <c r="G30" s="117" t="s">
        <v>39</v>
      </c>
      <c r="H30" s="126" t="s">
        <v>223</v>
      </c>
      <c r="I30" s="131" t="str">
        <f t="shared" si="2"/>
        <v>Mantenimiento del control</v>
      </c>
      <c r="J30" s="88">
        <f>+IF(G30="Si",40,IF(G30="En proceso",30,20))</f>
        <v>40</v>
      </c>
      <c r="K30" s="88">
        <v>0.23449999999999999</v>
      </c>
      <c r="L30" s="88">
        <f t="shared" si="3"/>
        <v>40.234499999999997</v>
      </c>
    </row>
    <row r="31" spans="1:32" s="46" customFormat="1" ht="63.75" thickBot="1" x14ac:dyDescent="0.3">
      <c r="A31" s="87" t="str">
        <f t="shared" si="4"/>
        <v>2d</v>
      </c>
      <c r="B31" s="235"/>
      <c r="C31" s="244"/>
      <c r="D31" s="238"/>
      <c r="E31" s="73" t="s">
        <v>42</v>
      </c>
      <c r="F31" s="122" t="s">
        <v>66</v>
      </c>
      <c r="G31" s="118" t="s">
        <v>39</v>
      </c>
      <c r="H31" s="128" t="s">
        <v>224</v>
      </c>
      <c r="I31" s="132" t="str">
        <f t="shared" si="2"/>
        <v>Mantenimiento del control</v>
      </c>
      <c r="J31" s="88">
        <f>+IF(G31="Si",40,IF(G31="En proceso",30,20))</f>
        <v>40</v>
      </c>
      <c r="K31" s="88">
        <v>0.23455999999999999</v>
      </c>
      <c r="L31" s="88">
        <f t="shared" si="3"/>
        <v>40.234560000000002</v>
      </c>
    </row>
    <row r="32" spans="1:32" s="46" customFormat="1" ht="120.75" customHeight="1" x14ac:dyDescent="0.25">
      <c r="A32" s="87" t="str">
        <f>3&amp;E32</f>
        <v>3a</v>
      </c>
      <c r="B32" s="258" t="s">
        <v>67</v>
      </c>
      <c r="C32" s="254" t="s">
        <v>61</v>
      </c>
      <c r="D32" s="255" t="s">
        <v>68</v>
      </c>
      <c r="E32" s="71" t="s">
        <v>34</v>
      </c>
      <c r="F32" s="119" t="s">
        <v>69</v>
      </c>
      <c r="G32" s="116" t="s">
        <v>76</v>
      </c>
      <c r="H32" s="123" t="s">
        <v>193</v>
      </c>
      <c r="I32" s="130" t="str">
        <f t="shared" si="2"/>
        <v>Oportunidad de mejora</v>
      </c>
      <c r="J32" s="88">
        <f t="shared" ref="J32:J37" si="5">+IF(G32="Si",40,IF(G32="En proceso",30,20))</f>
        <v>30</v>
      </c>
      <c r="K32" s="90">
        <v>0.234567</v>
      </c>
      <c r="L32" s="88">
        <f t="shared" ref="L32:L37" si="6">+J32+K32</f>
        <v>30.234566999999998</v>
      </c>
      <c r="M32" s="45"/>
      <c r="N32" s="45"/>
      <c r="O32" s="45"/>
      <c r="P32" s="45"/>
      <c r="Q32" s="45"/>
      <c r="R32" s="45"/>
      <c r="S32" s="45"/>
      <c r="T32" s="45"/>
      <c r="U32" s="45"/>
      <c r="V32" s="45"/>
      <c r="W32" s="45"/>
      <c r="X32" s="45"/>
      <c r="Y32" s="45"/>
      <c r="Z32" s="45"/>
      <c r="AA32" s="45"/>
      <c r="AB32" s="45"/>
      <c r="AC32" s="45"/>
      <c r="AD32" s="45"/>
      <c r="AE32" s="45"/>
      <c r="AF32" s="45"/>
    </row>
    <row r="33" spans="1:32" s="46" customFormat="1" ht="99.75" customHeight="1" x14ac:dyDescent="0.25">
      <c r="A33" s="87" t="str">
        <f t="shared" ref="A33:A34" si="7">3&amp;E33</f>
        <v>3b</v>
      </c>
      <c r="B33" s="258"/>
      <c r="C33" s="254"/>
      <c r="D33" s="256"/>
      <c r="E33" s="72" t="s">
        <v>37</v>
      </c>
      <c r="F33" s="121" t="s">
        <v>70</v>
      </c>
      <c r="G33" s="117" t="s">
        <v>76</v>
      </c>
      <c r="H33" s="126" t="s">
        <v>196</v>
      </c>
      <c r="I33" s="131" t="str">
        <f t="shared" si="2"/>
        <v>Oportunidad de mejora</v>
      </c>
      <c r="J33" s="88">
        <f t="shared" si="5"/>
        <v>30</v>
      </c>
      <c r="K33" s="90">
        <v>0.23456779999999999</v>
      </c>
      <c r="L33" s="88">
        <f t="shared" si="6"/>
        <v>30.234567800000001</v>
      </c>
      <c r="M33" s="45"/>
      <c r="N33" s="45"/>
      <c r="O33" s="45"/>
      <c r="P33" s="45"/>
      <c r="Q33" s="45"/>
      <c r="R33" s="45"/>
      <c r="S33" s="45"/>
      <c r="T33" s="45"/>
      <c r="U33" s="45"/>
      <c r="V33" s="45"/>
      <c r="W33" s="45"/>
      <c r="X33" s="45"/>
      <c r="Y33" s="45"/>
      <c r="Z33" s="45"/>
      <c r="AA33" s="45"/>
      <c r="AB33" s="45"/>
      <c r="AC33" s="45"/>
      <c r="AD33" s="45"/>
      <c r="AE33" s="45"/>
      <c r="AF33" s="45"/>
    </row>
    <row r="34" spans="1:32" s="46" customFormat="1" ht="109.5" customHeight="1" thickBot="1" x14ac:dyDescent="0.3">
      <c r="A34" s="87" t="str">
        <f t="shared" si="7"/>
        <v>3c</v>
      </c>
      <c r="B34" s="258"/>
      <c r="C34" s="254"/>
      <c r="D34" s="257"/>
      <c r="E34" s="73" t="s">
        <v>40</v>
      </c>
      <c r="F34" s="122" t="s">
        <v>71</v>
      </c>
      <c r="G34" s="118" t="s">
        <v>76</v>
      </c>
      <c r="H34" s="128" t="s">
        <v>225</v>
      </c>
      <c r="I34" s="132" t="str">
        <f t="shared" si="2"/>
        <v>Oportunidad de mejora</v>
      </c>
      <c r="J34" s="88">
        <f t="shared" si="5"/>
        <v>30</v>
      </c>
      <c r="K34" s="90">
        <v>0.23456789</v>
      </c>
      <c r="L34" s="88">
        <f t="shared" si="6"/>
        <v>30.234567890000001</v>
      </c>
      <c r="M34" s="45"/>
      <c r="N34" s="45"/>
      <c r="O34" s="45"/>
      <c r="P34" s="45"/>
      <c r="Q34" s="45"/>
      <c r="R34" s="45"/>
      <c r="S34" s="45"/>
      <c r="T34" s="45"/>
      <c r="U34" s="45"/>
      <c r="V34" s="45"/>
      <c r="W34" s="45"/>
      <c r="X34" s="45"/>
      <c r="Y34" s="45"/>
      <c r="Z34" s="45"/>
      <c r="AA34" s="45"/>
      <c r="AB34" s="45"/>
      <c r="AC34" s="45"/>
      <c r="AD34" s="45"/>
      <c r="AE34" s="45"/>
      <c r="AF34" s="45"/>
    </row>
    <row r="35" spans="1:32" s="46" customFormat="1" ht="72" customHeight="1" x14ac:dyDescent="0.25">
      <c r="A35" s="87" t="str">
        <f>4&amp;E35</f>
        <v>4a</v>
      </c>
      <c r="B35" s="259" t="s">
        <v>72</v>
      </c>
      <c r="C35" s="243" t="s">
        <v>61</v>
      </c>
      <c r="D35" s="236" t="s">
        <v>73</v>
      </c>
      <c r="E35" s="71" t="s">
        <v>34</v>
      </c>
      <c r="F35" s="119" t="s">
        <v>74</v>
      </c>
      <c r="G35" s="116" t="s">
        <v>76</v>
      </c>
      <c r="H35" s="126" t="s">
        <v>226</v>
      </c>
      <c r="I35" s="130" t="str">
        <f t="shared" si="2"/>
        <v>Oportunidad de mejora</v>
      </c>
      <c r="J35" s="88">
        <f t="shared" si="5"/>
        <v>30</v>
      </c>
      <c r="K35" s="90">
        <v>0.23456789119999999</v>
      </c>
      <c r="L35" s="88">
        <f t="shared" si="6"/>
        <v>30.234567891200001</v>
      </c>
      <c r="M35" s="45"/>
      <c r="N35" s="45"/>
      <c r="O35" s="45"/>
      <c r="P35" s="45"/>
      <c r="Q35" s="45"/>
    </row>
    <row r="36" spans="1:32" s="46" customFormat="1" ht="79.5" customHeight="1" x14ac:dyDescent="0.25">
      <c r="A36" s="87" t="str">
        <f t="shared" ref="A36:A37" si="8">4&amp;E36</f>
        <v>4b</v>
      </c>
      <c r="B36" s="259"/>
      <c r="C36" s="243"/>
      <c r="D36" s="237"/>
      <c r="E36" s="72" t="s">
        <v>37</v>
      </c>
      <c r="F36" s="121" t="s">
        <v>75</v>
      </c>
      <c r="G36" s="117" t="s">
        <v>76</v>
      </c>
      <c r="H36" s="126" t="s">
        <v>227</v>
      </c>
      <c r="I36" s="131" t="str">
        <f t="shared" si="2"/>
        <v>Oportunidad de mejora</v>
      </c>
      <c r="J36" s="88">
        <f t="shared" si="5"/>
        <v>30</v>
      </c>
      <c r="K36" s="90">
        <v>0.23456789122999999</v>
      </c>
      <c r="L36" s="88">
        <f t="shared" si="6"/>
        <v>30.23456789123</v>
      </c>
      <c r="M36" s="45"/>
      <c r="N36" s="45"/>
      <c r="O36" s="45"/>
      <c r="P36" s="45"/>
      <c r="Q36" s="45"/>
    </row>
    <row r="37" spans="1:32" s="46" customFormat="1" ht="49.5" customHeight="1" thickBot="1" x14ac:dyDescent="0.3">
      <c r="A37" s="87" t="str">
        <f t="shared" si="8"/>
        <v>4c</v>
      </c>
      <c r="B37" s="259"/>
      <c r="C37" s="243"/>
      <c r="D37" s="238"/>
      <c r="E37" s="73" t="s">
        <v>40</v>
      </c>
      <c r="F37" s="122" t="s">
        <v>77</v>
      </c>
      <c r="G37" s="118" t="s">
        <v>76</v>
      </c>
      <c r="H37" s="128" t="s">
        <v>228</v>
      </c>
      <c r="I37" s="132" t="str">
        <f t="shared" si="2"/>
        <v>Oportunidad de mejora</v>
      </c>
      <c r="J37" s="88">
        <f t="shared" si="5"/>
        <v>30</v>
      </c>
      <c r="K37" s="90">
        <v>0.23456789123399999</v>
      </c>
      <c r="L37" s="88">
        <f t="shared" si="6"/>
        <v>30.234567891234001</v>
      </c>
      <c r="M37" s="45"/>
      <c r="N37" s="45"/>
      <c r="O37" s="45"/>
      <c r="P37" s="45"/>
      <c r="Q37" s="45"/>
    </row>
    <row r="38" spans="1:32" s="46" customFormat="1" ht="132" customHeight="1" x14ac:dyDescent="0.25">
      <c r="A38" s="87" t="str">
        <f>5&amp;E38</f>
        <v>5a</v>
      </c>
      <c r="B38" s="260" t="s">
        <v>78</v>
      </c>
      <c r="C38" s="245" t="s">
        <v>79</v>
      </c>
      <c r="D38" s="263" t="s">
        <v>80</v>
      </c>
      <c r="E38" s="71" t="s">
        <v>34</v>
      </c>
      <c r="F38" s="119" t="s">
        <v>81</v>
      </c>
      <c r="G38" s="116" t="s">
        <v>39</v>
      </c>
      <c r="H38" s="162" t="s">
        <v>197</v>
      </c>
      <c r="I38" s="124" t="str">
        <f t="shared" si="2"/>
        <v>Mantenimiento del control</v>
      </c>
      <c r="J38" s="88">
        <f>+IF(G38="Si",60,IF(G38="En proceso",50,40))</f>
        <v>60</v>
      </c>
      <c r="K38" s="88">
        <v>0.31</v>
      </c>
      <c r="L38" s="88">
        <f t="shared" si="3"/>
        <v>60.31</v>
      </c>
    </row>
    <row r="39" spans="1:32" s="46" customFormat="1" ht="105.75" customHeight="1" x14ac:dyDescent="0.25">
      <c r="A39" s="87" t="str">
        <f t="shared" ref="A39:A42" si="9">5&amp;E39</f>
        <v>5b</v>
      </c>
      <c r="B39" s="261"/>
      <c r="C39" s="246"/>
      <c r="D39" s="264"/>
      <c r="E39" s="72" t="s">
        <v>37</v>
      </c>
      <c r="F39" s="121" t="s">
        <v>82</v>
      </c>
      <c r="G39" s="117" t="s">
        <v>76</v>
      </c>
      <c r="H39" s="126" t="s">
        <v>229</v>
      </c>
      <c r="I39" s="127" t="str">
        <f t="shared" si="2"/>
        <v>Oportunidad de mejora</v>
      </c>
      <c r="J39" s="88">
        <f>+IF(G39="Si",60,IF(G39="En proceso",50,40))</f>
        <v>50</v>
      </c>
      <c r="K39" s="88">
        <v>0.32300000000000001</v>
      </c>
      <c r="L39" s="88">
        <f t="shared" si="3"/>
        <v>50.323</v>
      </c>
    </row>
    <row r="40" spans="1:32" s="46" customFormat="1" ht="152.25" customHeight="1" x14ac:dyDescent="0.25">
      <c r="A40" s="87" t="str">
        <f t="shared" si="9"/>
        <v>5c</v>
      </c>
      <c r="B40" s="261"/>
      <c r="C40" s="246"/>
      <c r="D40" s="264"/>
      <c r="E40" s="72" t="s">
        <v>40</v>
      </c>
      <c r="F40" s="121" t="s">
        <v>83</v>
      </c>
      <c r="G40" s="117" t="s">
        <v>76</v>
      </c>
      <c r="H40" s="126" t="s">
        <v>198</v>
      </c>
      <c r="I40" s="127" t="str">
        <f t="shared" si="2"/>
        <v>Oportunidad de mejora</v>
      </c>
      <c r="J40" s="88">
        <f>+IF(G40="Si",60,IF(G40="En proceso",50,40))</f>
        <v>50</v>
      </c>
      <c r="K40" s="88">
        <v>0.32400000000000001</v>
      </c>
      <c r="L40" s="88">
        <f t="shared" si="3"/>
        <v>50.323999999999998</v>
      </c>
    </row>
    <row r="41" spans="1:32" s="46" customFormat="1" ht="174" customHeight="1" x14ac:dyDescent="0.25">
      <c r="A41" s="87" t="str">
        <f t="shared" si="9"/>
        <v>5d</v>
      </c>
      <c r="B41" s="261"/>
      <c r="C41" s="246"/>
      <c r="D41" s="264"/>
      <c r="E41" s="72" t="s">
        <v>42</v>
      </c>
      <c r="F41" s="121" t="s">
        <v>84</v>
      </c>
      <c r="G41" s="117" t="s">
        <v>39</v>
      </c>
      <c r="H41" s="126" t="s">
        <v>230</v>
      </c>
      <c r="I41" s="127" t="str">
        <f t="shared" si="2"/>
        <v>Mantenimiento del control</v>
      </c>
      <c r="J41" s="88">
        <f>+IF(G41="Si",60,IF(G41="En proceso",50,40))</f>
        <v>60</v>
      </c>
      <c r="K41" s="88">
        <v>0.32500000000000001</v>
      </c>
      <c r="L41" s="88">
        <f t="shared" si="3"/>
        <v>60.325000000000003</v>
      </c>
    </row>
    <row r="42" spans="1:32" s="46" customFormat="1" ht="131.25" customHeight="1" thickBot="1" x14ac:dyDescent="0.3">
      <c r="A42" s="87" t="str">
        <f t="shared" si="9"/>
        <v>5e</v>
      </c>
      <c r="B42" s="262"/>
      <c r="C42" s="247"/>
      <c r="D42" s="265"/>
      <c r="E42" s="73" t="s">
        <v>44</v>
      </c>
      <c r="F42" s="122" t="s">
        <v>85</v>
      </c>
      <c r="G42" s="118" t="s">
        <v>39</v>
      </c>
      <c r="H42" s="126" t="s">
        <v>231</v>
      </c>
      <c r="I42" s="129" t="str">
        <f t="shared" si="2"/>
        <v>Mantenimiento del control</v>
      </c>
      <c r="J42" s="88">
        <f>+IF(G42="Si",60,IF(G42="En proceso",50,40))</f>
        <v>60</v>
      </c>
      <c r="K42" s="88">
        <v>0.32600000000000001</v>
      </c>
      <c r="L42" s="88">
        <f t="shared" si="3"/>
        <v>60.326000000000001</v>
      </c>
    </row>
    <row r="43" spans="1:32" s="46" customFormat="1" ht="78" customHeight="1" x14ac:dyDescent="0.25">
      <c r="A43" s="87" t="str">
        <f>6&amp;E43</f>
        <v>6a</v>
      </c>
      <c r="B43" s="218" t="s">
        <v>86</v>
      </c>
      <c r="C43" s="248" t="s">
        <v>87</v>
      </c>
      <c r="D43" s="215" t="s">
        <v>88</v>
      </c>
      <c r="E43" s="71" t="s">
        <v>34</v>
      </c>
      <c r="F43" s="119" t="s">
        <v>89</v>
      </c>
      <c r="G43" s="116" t="s">
        <v>39</v>
      </c>
      <c r="H43" s="157" t="s">
        <v>199</v>
      </c>
      <c r="I43" s="124" t="str">
        <f t="shared" si="2"/>
        <v>Mantenimiento del control</v>
      </c>
      <c r="J43" s="88">
        <f t="shared" ref="J43:J49" si="10">+IF(G43="Si",80,IF(G43="En proceso",70,60))</f>
        <v>80</v>
      </c>
      <c r="K43" s="88">
        <v>0.41199999999999998</v>
      </c>
      <c r="L43" s="88">
        <f t="shared" si="3"/>
        <v>80.412000000000006</v>
      </c>
    </row>
    <row r="44" spans="1:32" s="46" customFormat="1" ht="63" x14ac:dyDescent="0.25">
      <c r="A44" s="87" t="str">
        <f t="shared" ref="A44:A49" si="11">6&amp;E44</f>
        <v>6b</v>
      </c>
      <c r="B44" s="219"/>
      <c r="C44" s="249"/>
      <c r="D44" s="216"/>
      <c r="E44" s="72" t="s">
        <v>37</v>
      </c>
      <c r="F44" s="121" t="s">
        <v>90</v>
      </c>
      <c r="G44" s="117" t="s">
        <v>39</v>
      </c>
      <c r="H44" s="126" t="s">
        <v>200</v>
      </c>
      <c r="I44" s="127" t="str">
        <f t="shared" si="2"/>
        <v>Mantenimiento del control</v>
      </c>
      <c r="J44" s="88">
        <f t="shared" si="10"/>
        <v>80</v>
      </c>
      <c r="K44" s="88">
        <v>0.4123</v>
      </c>
      <c r="L44" s="88">
        <f t="shared" si="3"/>
        <v>80.412300000000002</v>
      </c>
    </row>
    <row r="45" spans="1:32" s="46" customFormat="1" ht="78.75" x14ac:dyDescent="0.25">
      <c r="A45" s="87" t="str">
        <f t="shared" si="11"/>
        <v>6c</v>
      </c>
      <c r="B45" s="219"/>
      <c r="C45" s="249"/>
      <c r="D45" s="216"/>
      <c r="E45" s="72" t="s">
        <v>40</v>
      </c>
      <c r="F45" s="121" t="s">
        <v>91</v>
      </c>
      <c r="G45" s="117" t="s">
        <v>39</v>
      </c>
      <c r="H45" s="139" t="s">
        <v>201</v>
      </c>
      <c r="I45" s="127" t="str">
        <f t="shared" si="2"/>
        <v>Mantenimiento del control</v>
      </c>
      <c r="J45" s="88">
        <f t="shared" si="10"/>
        <v>80</v>
      </c>
      <c r="K45" s="88">
        <v>0.41233999999999998</v>
      </c>
      <c r="L45" s="88">
        <f t="shared" si="3"/>
        <v>80.41234</v>
      </c>
    </row>
    <row r="46" spans="1:32" s="46" customFormat="1" ht="47.25" x14ac:dyDescent="0.25">
      <c r="A46" s="87" t="str">
        <f t="shared" si="11"/>
        <v>6d</v>
      </c>
      <c r="B46" s="219"/>
      <c r="C46" s="249"/>
      <c r="D46" s="216"/>
      <c r="E46" s="72" t="s">
        <v>42</v>
      </c>
      <c r="F46" s="121" t="s">
        <v>92</v>
      </c>
      <c r="G46" s="117" t="s">
        <v>36</v>
      </c>
      <c r="H46" s="126" t="s">
        <v>194</v>
      </c>
      <c r="I46" s="127" t="str">
        <f t="shared" si="2"/>
        <v>Deficiencia de control</v>
      </c>
      <c r="J46" s="88">
        <f t="shared" si="10"/>
        <v>60</v>
      </c>
      <c r="K46" s="88">
        <v>0.41234500000000002</v>
      </c>
      <c r="L46" s="88">
        <f t="shared" si="3"/>
        <v>60.412345000000002</v>
      </c>
    </row>
    <row r="47" spans="1:32" s="46" customFormat="1" ht="78.75" x14ac:dyDescent="0.25">
      <c r="A47" s="87" t="str">
        <f t="shared" si="11"/>
        <v>6e</v>
      </c>
      <c r="B47" s="219"/>
      <c r="C47" s="249"/>
      <c r="D47" s="216"/>
      <c r="E47" s="72" t="s">
        <v>44</v>
      </c>
      <c r="F47" s="121" t="s">
        <v>93</v>
      </c>
      <c r="G47" s="117" t="s">
        <v>36</v>
      </c>
      <c r="H47" s="139" t="s">
        <v>202</v>
      </c>
      <c r="I47" s="127" t="str">
        <f t="shared" si="2"/>
        <v>Deficiencia de control</v>
      </c>
      <c r="J47" s="88">
        <f t="shared" si="10"/>
        <v>60</v>
      </c>
      <c r="K47" s="88">
        <v>0.41234559999999998</v>
      </c>
      <c r="L47" s="88">
        <f t="shared" si="3"/>
        <v>60.412345600000002</v>
      </c>
    </row>
    <row r="48" spans="1:32" s="46" customFormat="1" ht="96" customHeight="1" x14ac:dyDescent="0.25">
      <c r="A48" s="87" t="str">
        <f t="shared" si="11"/>
        <v>6f</v>
      </c>
      <c r="B48" s="219"/>
      <c r="C48" s="249"/>
      <c r="D48" s="216"/>
      <c r="E48" s="72" t="s">
        <v>46</v>
      </c>
      <c r="F48" s="121" t="s">
        <v>94</v>
      </c>
      <c r="G48" s="117" t="s">
        <v>39</v>
      </c>
      <c r="H48" s="126" t="s">
        <v>232</v>
      </c>
      <c r="I48" s="127" t="str">
        <f t="shared" si="2"/>
        <v>Mantenimiento del control</v>
      </c>
      <c r="J48" s="88">
        <f t="shared" si="10"/>
        <v>80</v>
      </c>
      <c r="K48" s="88">
        <v>0.41234567</v>
      </c>
      <c r="L48" s="88">
        <f t="shared" si="3"/>
        <v>80.412345669999993</v>
      </c>
    </row>
    <row r="49" spans="1:17" s="46" customFormat="1" ht="93.75" customHeight="1" thickBot="1" x14ac:dyDescent="0.3">
      <c r="A49" s="87" t="str">
        <f t="shared" si="11"/>
        <v>6g</v>
      </c>
      <c r="B49" s="220"/>
      <c r="C49" s="250"/>
      <c r="D49" s="217"/>
      <c r="E49" s="73" t="s">
        <v>48</v>
      </c>
      <c r="F49" s="122" t="s">
        <v>95</v>
      </c>
      <c r="G49" s="118" t="s">
        <v>39</v>
      </c>
      <c r="H49" s="128" t="s">
        <v>215</v>
      </c>
      <c r="I49" s="129" t="str">
        <f t="shared" si="2"/>
        <v>Mantenimiento del control</v>
      </c>
      <c r="J49" s="88">
        <f t="shared" si="10"/>
        <v>80</v>
      </c>
      <c r="K49" s="88">
        <v>0.41234567799999999</v>
      </c>
      <c r="L49" s="88">
        <f t="shared" si="3"/>
        <v>80.412345677999994</v>
      </c>
    </row>
    <row r="50" spans="1:17" s="46" customFormat="1" ht="85.5" customHeight="1" x14ac:dyDescent="0.25">
      <c r="A50" s="87" t="str">
        <f>7&amp;E50</f>
        <v>7a</v>
      </c>
      <c r="B50" s="224" t="s">
        <v>96</v>
      </c>
      <c r="C50" s="251" t="s">
        <v>97</v>
      </c>
      <c r="D50" s="221" t="s">
        <v>98</v>
      </c>
      <c r="E50" s="71" t="s">
        <v>34</v>
      </c>
      <c r="F50" s="119" t="s">
        <v>99</v>
      </c>
      <c r="G50" s="116" t="s">
        <v>39</v>
      </c>
      <c r="H50" s="123" t="s">
        <v>233</v>
      </c>
      <c r="I50" s="124" t="str">
        <f t="shared" si="2"/>
        <v>Mantenimiento del control</v>
      </c>
      <c r="J50" s="88">
        <f>+IF(G50="Si",120,IF(G50="En proceso",100,80))</f>
        <v>120</v>
      </c>
      <c r="K50" s="88">
        <v>0.85099999999999998</v>
      </c>
      <c r="L50" s="88">
        <f t="shared" si="3"/>
        <v>120.851</v>
      </c>
    </row>
    <row r="51" spans="1:17" s="46" customFormat="1" ht="126" x14ac:dyDescent="0.25">
      <c r="A51" s="87" t="str">
        <f t="shared" ref="A51:A53" si="12">7&amp;E51</f>
        <v>7d</v>
      </c>
      <c r="B51" s="225"/>
      <c r="C51" s="252"/>
      <c r="D51" s="222"/>
      <c r="E51" s="72" t="s">
        <v>42</v>
      </c>
      <c r="F51" s="121" t="s">
        <v>100</v>
      </c>
      <c r="G51" s="117" t="s">
        <v>39</v>
      </c>
      <c r="H51" s="139" t="s">
        <v>203</v>
      </c>
      <c r="I51" s="127" t="str">
        <f t="shared" si="2"/>
        <v>Mantenimiento del control</v>
      </c>
      <c r="J51" s="88">
        <f t="shared" ref="J51:J59" si="13">+IF(G51="Si",120,IF(G51="En proceso",100,80))</f>
        <v>120</v>
      </c>
      <c r="K51" s="88">
        <v>0.85119999999999996</v>
      </c>
      <c r="L51" s="88">
        <f t="shared" si="3"/>
        <v>120.85120000000001</v>
      </c>
    </row>
    <row r="52" spans="1:17" s="46" customFormat="1" ht="90.75" customHeight="1" x14ac:dyDescent="0.25">
      <c r="A52" s="87" t="str">
        <f t="shared" si="12"/>
        <v>7f</v>
      </c>
      <c r="B52" s="225"/>
      <c r="C52" s="252"/>
      <c r="D52" s="222"/>
      <c r="E52" s="72" t="s">
        <v>46</v>
      </c>
      <c r="F52" s="121" t="s">
        <v>101</v>
      </c>
      <c r="G52" s="117" t="s">
        <v>39</v>
      </c>
      <c r="H52" s="126" t="s">
        <v>234</v>
      </c>
      <c r="I52" s="127" t="str">
        <f t="shared" si="2"/>
        <v>Mantenimiento del control</v>
      </c>
      <c r="J52" s="88">
        <f t="shared" si="13"/>
        <v>120</v>
      </c>
      <c r="K52" s="88">
        <v>0.85123000000000004</v>
      </c>
      <c r="L52" s="88">
        <f t="shared" si="3"/>
        <v>120.85123</v>
      </c>
    </row>
    <row r="53" spans="1:17" s="46" customFormat="1" ht="81" customHeight="1" thickBot="1" x14ac:dyDescent="0.3">
      <c r="A53" s="87" t="str">
        <f t="shared" si="12"/>
        <v>7g</v>
      </c>
      <c r="B53" s="226"/>
      <c r="C53" s="253"/>
      <c r="D53" s="223"/>
      <c r="E53" s="73" t="s">
        <v>48</v>
      </c>
      <c r="F53" s="122" t="s">
        <v>102</v>
      </c>
      <c r="G53" s="118" t="s">
        <v>76</v>
      </c>
      <c r="H53" s="128" t="s">
        <v>204</v>
      </c>
      <c r="I53" s="129" t="str">
        <f t="shared" si="2"/>
        <v>Oportunidad de mejora</v>
      </c>
      <c r="J53" s="88">
        <f t="shared" si="13"/>
        <v>100</v>
      </c>
      <c r="K53" s="88">
        <v>0.85123400000000005</v>
      </c>
      <c r="L53" s="88">
        <f t="shared" si="3"/>
        <v>100.85123400000001</v>
      </c>
    </row>
    <row r="54" spans="1:17" s="46" customFormat="1" ht="125.25" customHeight="1" thickBot="1" x14ac:dyDescent="0.3">
      <c r="A54" s="87" t="str">
        <f>8&amp;E54</f>
        <v>8h</v>
      </c>
      <c r="B54" s="114" t="s">
        <v>103</v>
      </c>
      <c r="C54" s="115" t="s">
        <v>97</v>
      </c>
      <c r="D54" s="70" t="s">
        <v>104</v>
      </c>
      <c r="E54" s="71" t="s">
        <v>50</v>
      </c>
      <c r="F54" s="119" t="s">
        <v>105</v>
      </c>
      <c r="G54" s="116" t="s">
        <v>39</v>
      </c>
      <c r="H54" s="123" t="s">
        <v>205</v>
      </c>
      <c r="I54" s="124" t="str">
        <f t="shared" si="2"/>
        <v>Mantenimiento del control</v>
      </c>
      <c r="J54" s="88">
        <f t="shared" si="13"/>
        <v>120</v>
      </c>
      <c r="K54" s="88">
        <v>0.85123450000000001</v>
      </c>
      <c r="L54" s="88">
        <f t="shared" si="3"/>
        <v>120.8512345</v>
      </c>
    </row>
    <row r="55" spans="1:17" s="46" customFormat="1" ht="60.75" customHeight="1" x14ac:dyDescent="0.25">
      <c r="A55" s="87" t="str">
        <f>9&amp;E55</f>
        <v>9a</v>
      </c>
      <c r="B55" s="224" t="s">
        <v>106</v>
      </c>
      <c r="C55" s="251" t="s">
        <v>97</v>
      </c>
      <c r="D55" s="221" t="s">
        <v>107</v>
      </c>
      <c r="E55" s="71" t="s">
        <v>34</v>
      </c>
      <c r="F55" s="119" t="s">
        <v>108</v>
      </c>
      <c r="G55" s="116" t="s">
        <v>76</v>
      </c>
      <c r="H55" s="139" t="s">
        <v>207</v>
      </c>
      <c r="I55" s="130" t="str">
        <f t="shared" si="2"/>
        <v>Oportunidad de mejora</v>
      </c>
      <c r="J55" s="88">
        <f t="shared" si="13"/>
        <v>100</v>
      </c>
      <c r="K55" s="90">
        <v>0.85123455999999997</v>
      </c>
      <c r="L55" s="88">
        <f t="shared" si="3"/>
        <v>100.85123455999999</v>
      </c>
      <c r="M55" s="45"/>
      <c r="N55" s="45"/>
      <c r="O55" s="45"/>
      <c r="P55" s="45"/>
      <c r="Q55" s="45"/>
    </row>
    <row r="56" spans="1:17" s="46" customFormat="1" ht="55.5" customHeight="1" x14ac:dyDescent="0.25">
      <c r="A56" s="87" t="str">
        <f t="shared" ref="A56:A59" si="14">9&amp;E56</f>
        <v>9b</v>
      </c>
      <c r="B56" s="225"/>
      <c r="C56" s="252"/>
      <c r="D56" s="222"/>
      <c r="E56" s="72" t="s">
        <v>37</v>
      </c>
      <c r="F56" s="121" t="s">
        <v>109</v>
      </c>
      <c r="G56" s="117" t="s">
        <v>76</v>
      </c>
      <c r="H56" s="139" t="s">
        <v>206</v>
      </c>
      <c r="I56" s="131" t="str">
        <f t="shared" si="2"/>
        <v>Oportunidad de mejora</v>
      </c>
      <c r="J56" s="88">
        <f t="shared" si="13"/>
        <v>100</v>
      </c>
      <c r="K56" s="90">
        <v>0.851234567</v>
      </c>
      <c r="L56" s="88">
        <f t="shared" si="3"/>
        <v>100.85123456700001</v>
      </c>
      <c r="M56" s="45"/>
      <c r="N56" s="45"/>
      <c r="O56" s="45"/>
      <c r="P56" s="45"/>
      <c r="Q56" s="45"/>
    </row>
    <row r="57" spans="1:17" s="46" customFormat="1" ht="93.75" customHeight="1" x14ac:dyDescent="0.25">
      <c r="A57" s="87" t="str">
        <f t="shared" si="14"/>
        <v>9c</v>
      </c>
      <c r="B57" s="225"/>
      <c r="C57" s="252"/>
      <c r="D57" s="222"/>
      <c r="E57" s="72" t="s">
        <v>40</v>
      </c>
      <c r="F57" s="121" t="s">
        <v>110</v>
      </c>
      <c r="G57" s="117" t="s">
        <v>76</v>
      </c>
      <c r="H57" s="126" t="s">
        <v>208</v>
      </c>
      <c r="I57" s="131" t="str">
        <f t="shared" si="2"/>
        <v>Oportunidad de mejora</v>
      </c>
      <c r="J57" s="88">
        <f t="shared" si="13"/>
        <v>100</v>
      </c>
      <c r="K57" s="90">
        <v>0.85123456779999995</v>
      </c>
      <c r="L57" s="88">
        <f t="shared" si="3"/>
        <v>100.85123456780001</v>
      </c>
      <c r="M57" s="45"/>
      <c r="N57" s="45"/>
      <c r="O57" s="45"/>
      <c r="P57" s="45"/>
      <c r="Q57" s="45"/>
    </row>
    <row r="58" spans="1:17" s="46" customFormat="1" ht="75.75" customHeight="1" x14ac:dyDescent="0.25">
      <c r="A58" s="87" t="str">
        <f t="shared" si="14"/>
        <v>9d</v>
      </c>
      <c r="B58" s="225"/>
      <c r="C58" s="252"/>
      <c r="D58" s="222"/>
      <c r="E58" s="72" t="s">
        <v>42</v>
      </c>
      <c r="F58" s="121" t="s">
        <v>111</v>
      </c>
      <c r="G58" s="117" t="s">
        <v>76</v>
      </c>
      <c r="H58" s="126" t="s">
        <v>235</v>
      </c>
      <c r="I58" s="131" t="str">
        <f t="shared" si="2"/>
        <v>Oportunidad de mejora</v>
      </c>
      <c r="J58" s="88">
        <f t="shared" si="13"/>
        <v>100</v>
      </c>
      <c r="K58" s="90">
        <v>0.85123456788999996</v>
      </c>
      <c r="L58" s="88">
        <f t="shared" si="3"/>
        <v>100.85123456789</v>
      </c>
      <c r="M58" s="45"/>
      <c r="N58" s="45"/>
      <c r="O58" s="45"/>
      <c r="P58" s="45"/>
      <c r="Q58" s="45"/>
    </row>
    <row r="59" spans="1:17" s="46" customFormat="1" ht="77.25" customHeight="1" thickBot="1" x14ac:dyDescent="0.3">
      <c r="A59" s="87" t="str">
        <f t="shared" si="14"/>
        <v>9e</v>
      </c>
      <c r="B59" s="226"/>
      <c r="C59" s="253"/>
      <c r="D59" s="223"/>
      <c r="E59" s="73" t="s">
        <v>44</v>
      </c>
      <c r="F59" s="122" t="s">
        <v>112</v>
      </c>
      <c r="G59" s="118" t="s">
        <v>76</v>
      </c>
      <c r="H59" s="128" t="s">
        <v>209</v>
      </c>
      <c r="I59" s="132" t="str">
        <f t="shared" si="2"/>
        <v>Oportunidad de mejora</v>
      </c>
      <c r="J59" s="88">
        <f t="shared" si="13"/>
        <v>100</v>
      </c>
      <c r="K59" s="90">
        <v>0.85123456789100005</v>
      </c>
      <c r="L59" s="88">
        <f t="shared" si="3"/>
        <v>100.851234567891</v>
      </c>
      <c r="M59" s="45"/>
      <c r="N59" s="45"/>
      <c r="O59" s="45"/>
      <c r="P59" s="45"/>
      <c r="Q59" s="45"/>
    </row>
  </sheetData>
  <sheetProtection algorithmName="SHA-512" hashValue="3f8q67IhQ+195mCCu45JxrnKZ5NQYpYn/4DMJ1qNlLoW+1h5DdlwjNz0RDsqicEeH5OxPhf5j92R5BAeBl6Iaw==" saltValue="5vY6GrPfNxnRatmVvJafnA==" spinCount="100000" sheet="1" objects="1" scenarios="1" formatCells="0" formatColumns="0" formatRows="0"/>
  <mergeCells count="25">
    <mergeCell ref="D55:D59"/>
    <mergeCell ref="B55:B59"/>
    <mergeCell ref="C16:C27"/>
    <mergeCell ref="C28:C31"/>
    <mergeCell ref="C38:C42"/>
    <mergeCell ref="C43:C49"/>
    <mergeCell ref="C50:C53"/>
    <mergeCell ref="C32:C34"/>
    <mergeCell ref="C35:C37"/>
    <mergeCell ref="C55:C59"/>
    <mergeCell ref="D32:D34"/>
    <mergeCell ref="B32:B34"/>
    <mergeCell ref="B35:B37"/>
    <mergeCell ref="D35:D37"/>
    <mergeCell ref="B38:B42"/>
    <mergeCell ref="D38:D42"/>
    <mergeCell ref="B14:I14"/>
    <mergeCell ref="D43:D49"/>
    <mergeCell ref="B43:B49"/>
    <mergeCell ref="D50:D53"/>
    <mergeCell ref="B50:B53"/>
    <mergeCell ref="D16:D27"/>
    <mergeCell ref="B16:B27"/>
    <mergeCell ref="B28:B31"/>
    <mergeCell ref="D28:D31"/>
  </mergeCells>
  <dataValidations count="2">
    <dataValidation type="list" allowBlank="1" showInputMessage="1" showErrorMessage="1" sqref="G55:G59 G16:G53" xr:uid="{00000000-0002-0000-0100-000000000000}">
      <formula1>"Si, No, En proceso"</formula1>
    </dataValidation>
    <dataValidation type="list" allowBlank="1" showInputMessage="1" showErrorMessage="1" sqref="G54" xr:uid="{00000000-0002-0000-0100-000001000000}">
      <formula1>"Si, No"</formula1>
    </dataValidation>
  </dataValidations>
  <pageMargins left="0.7" right="0.7" top="0.75" bottom="0.75" header="0.3" footer="0.3"/>
  <pageSetup scale="37" orientation="portrait" r:id="rId1"/>
  <colBreaks count="1" manualBreakCount="1">
    <brk id="9" max="58"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C74"/>
  <sheetViews>
    <sheetView tabSelected="1" topLeftCell="D1" zoomScaleNormal="100" workbookViewId="0">
      <selection activeCell="M63" sqref="M62:M63"/>
    </sheetView>
  </sheetViews>
  <sheetFormatPr baseColWidth="10" defaultColWidth="11.42578125" defaultRowHeight="15" x14ac:dyDescent="0.25"/>
  <cols>
    <col min="3" max="3" width="22.85546875" customWidth="1"/>
    <col min="4" max="4" width="22.42578125" customWidth="1"/>
    <col min="5" max="5" width="53.42578125" customWidth="1"/>
    <col min="7" max="7" width="28.28515625" customWidth="1"/>
    <col min="8" max="8" width="4.85546875" customWidth="1"/>
    <col min="9" max="9" width="15.28515625" customWidth="1"/>
    <col min="10" max="10" width="22.42578125" customWidth="1"/>
    <col min="11" max="29" width="11.42578125" style="1"/>
  </cols>
  <sheetData>
    <row r="1" spans="1:11" x14ac:dyDescent="0.25">
      <c r="A1" s="1"/>
      <c r="B1" s="1"/>
      <c r="C1" s="1"/>
      <c r="D1" s="1"/>
      <c r="E1" s="1"/>
      <c r="F1" s="1"/>
      <c r="G1" s="1"/>
      <c r="H1" s="1"/>
      <c r="I1" s="1"/>
      <c r="J1" s="1"/>
    </row>
    <row r="2" spans="1:11" s="1" customFormat="1" x14ac:dyDescent="0.25"/>
    <row r="3" spans="1:11" s="1" customFormat="1" x14ac:dyDescent="0.25"/>
    <row r="4" spans="1:11" x14ac:dyDescent="0.25">
      <c r="A4" s="1"/>
      <c r="B4" s="1"/>
      <c r="C4" s="1"/>
      <c r="D4" s="1"/>
      <c r="E4" s="1"/>
      <c r="F4" s="1"/>
      <c r="G4" s="1"/>
      <c r="H4" s="1"/>
      <c r="I4" s="1"/>
      <c r="J4" s="1"/>
    </row>
    <row r="5" spans="1:11" x14ac:dyDescent="0.25">
      <c r="A5" s="1"/>
      <c r="B5" s="1"/>
      <c r="C5" s="1"/>
      <c r="D5" s="1"/>
      <c r="E5" s="1"/>
      <c r="F5" s="1"/>
      <c r="G5" s="1"/>
      <c r="H5" s="1"/>
      <c r="I5" s="1"/>
      <c r="J5" s="1"/>
    </row>
    <row r="6" spans="1:11" ht="15.75" thickBot="1" x14ac:dyDescent="0.3">
      <c r="A6" s="1"/>
      <c r="B6" s="1"/>
      <c r="C6" s="1"/>
      <c r="D6" s="1"/>
      <c r="E6" s="1"/>
      <c r="F6" s="1"/>
      <c r="G6" s="1"/>
      <c r="H6" s="1"/>
      <c r="I6" s="1"/>
      <c r="J6" s="1"/>
    </row>
    <row r="7" spans="1:11" ht="26.25" thickBot="1" x14ac:dyDescent="0.3">
      <c r="A7" s="1"/>
      <c r="B7" s="1"/>
      <c r="C7" s="266" t="s">
        <v>113</v>
      </c>
      <c r="D7" s="267"/>
      <c r="E7" s="267"/>
      <c r="F7" s="267"/>
      <c r="G7" s="267"/>
      <c r="H7" s="267"/>
      <c r="I7" s="267"/>
      <c r="J7" s="267"/>
      <c r="K7" s="268"/>
    </row>
    <row r="8" spans="1:11" s="1" customFormat="1" ht="15.75" thickBot="1" x14ac:dyDescent="0.3">
      <c r="C8" s="36"/>
      <c r="D8" s="36"/>
      <c r="E8" s="37"/>
      <c r="F8" s="37"/>
      <c r="G8" s="37"/>
      <c r="H8" s="37"/>
      <c r="I8" s="47"/>
      <c r="J8" s="37"/>
      <c r="K8" s="37"/>
    </row>
    <row r="9" spans="1:11" ht="21" thickBot="1" x14ac:dyDescent="0.3">
      <c r="A9" s="1"/>
      <c r="B9" s="1"/>
      <c r="C9" s="171" t="s">
        <v>15</v>
      </c>
      <c r="D9" s="172"/>
      <c r="E9" s="172" t="s">
        <v>16</v>
      </c>
      <c r="F9" s="183"/>
      <c r="G9" s="37"/>
      <c r="H9" s="37"/>
      <c r="I9" s="47"/>
      <c r="J9" s="37"/>
      <c r="K9" s="37"/>
    </row>
    <row r="10" spans="1:11" ht="54" customHeight="1" x14ac:dyDescent="0.25">
      <c r="A10" s="1"/>
      <c r="B10" s="1"/>
      <c r="C10" s="184" t="s">
        <v>17</v>
      </c>
      <c r="D10" s="185"/>
      <c r="E10" s="186" t="s">
        <v>18</v>
      </c>
      <c r="F10" s="187"/>
      <c r="G10" s="38"/>
      <c r="H10" s="39">
        <v>1</v>
      </c>
      <c r="I10" s="47"/>
      <c r="J10" s="37"/>
      <c r="K10" s="37"/>
    </row>
    <row r="11" spans="1:11" ht="46.5" customHeight="1" x14ac:dyDescent="0.25">
      <c r="A11" s="1"/>
      <c r="B11" s="1"/>
      <c r="C11" s="173" t="s">
        <v>19</v>
      </c>
      <c r="D11" s="174"/>
      <c r="E11" s="175" t="s">
        <v>114</v>
      </c>
      <c r="F11" s="176"/>
      <c r="G11" s="40" t="s">
        <v>115</v>
      </c>
      <c r="H11" s="39">
        <v>0.75</v>
      </c>
      <c r="I11" s="47"/>
      <c r="J11" s="37"/>
      <c r="K11" s="37"/>
    </row>
    <row r="12" spans="1:11" ht="70.5" customHeight="1" thickBot="1" x14ac:dyDescent="0.3">
      <c r="A12" s="1"/>
      <c r="B12" s="1"/>
      <c r="C12" s="177" t="s">
        <v>21</v>
      </c>
      <c r="D12" s="178"/>
      <c r="E12" s="179" t="s">
        <v>116</v>
      </c>
      <c r="F12" s="180"/>
      <c r="G12" s="41"/>
      <c r="H12" s="39">
        <v>0.25</v>
      </c>
      <c r="I12" s="47"/>
      <c r="J12" s="37"/>
      <c r="K12" s="37"/>
    </row>
    <row r="13" spans="1:11" s="1" customFormat="1" x14ac:dyDescent="0.25"/>
    <row r="14" spans="1:11" s="1" customFormat="1" x14ac:dyDescent="0.25"/>
    <row r="15" spans="1:11" s="1" customFormat="1" x14ac:dyDescent="0.25"/>
    <row r="16" spans="1:11" s="1" customFormat="1" ht="15.75" thickBot="1" x14ac:dyDescent="0.3"/>
    <row r="17" spans="1:10" x14ac:dyDescent="0.25">
      <c r="A17" s="1"/>
      <c r="B17" s="1"/>
      <c r="C17" s="274" t="s">
        <v>117</v>
      </c>
      <c r="D17" s="276" t="s">
        <v>118</v>
      </c>
      <c r="E17" s="277"/>
      <c r="F17" s="278" t="s">
        <v>119</v>
      </c>
      <c r="G17" s="280" t="s">
        <v>120</v>
      </c>
      <c r="H17" s="35"/>
      <c r="I17" s="269" t="s">
        <v>121</v>
      </c>
      <c r="J17" s="269" t="s">
        <v>122</v>
      </c>
    </row>
    <row r="18" spans="1:10" ht="36" customHeight="1" thickBot="1" x14ac:dyDescent="0.3">
      <c r="A18" s="1"/>
      <c r="B18" s="1"/>
      <c r="C18" s="275"/>
      <c r="D18" s="91" t="s">
        <v>123</v>
      </c>
      <c r="E18" s="92" t="s">
        <v>27</v>
      </c>
      <c r="F18" s="279"/>
      <c r="G18" s="281"/>
      <c r="H18" s="35"/>
      <c r="I18" s="270"/>
      <c r="J18" s="270"/>
    </row>
    <row r="19" spans="1:10" ht="65.25" customHeight="1" x14ac:dyDescent="0.25">
      <c r="A19" s="1"/>
      <c r="B19" s="1"/>
      <c r="C19" s="93">
        <v>1</v>
      </c>
      <c r="D19" s="271" t="s">
        <v>32</v>
      </c>
      <c r="E19" s="145" t="str">
        <f>+IFERROR(INDEX(Hoja1!$E$2:$E$45,MATCH('Análisis Resultados'!C19,Hoja1!$H$2:$H$45,0)),"")</f>
        <v>Evaluación a los servidores públicos de acuerdo con el marco normativo que le rige</v>
      </c>
      <c r="F19" s="140" t="str">
        <f>+IFERROR(VLOOKUP(C19,Hoja1!$H$2:$I$45,2,0),"")</f>
        <v>No</v>
      </c>
      <c r="G19" s="150" t="str">
        <f>+IF(F19="Si","Existe requerimiento pero se requiere actividades  dirigidas a su mantenimiento dentro del marco de las lineas de defensa.",IF(F19="En proceso","Se encuentra en proceso, pero requiere continuar con acciones dirigidas a contar con dicho aspecto de control.","No se encuentra el aspecto  por lo tanto la entidad debera generar acciones dirigidas a que se cumpla con el requerimiento."))</f>
        <v>No se encuentra el aspecto  por lo tanto la entidad debera generar acciones dirigidas a que se cumpla con el requerimiento.</v>
      </c>
      <c r="I19" s="94">
        <f>+IF(F19="Si",1,IF(F19="En proceso",0.5,0))</f>
        <v>0</v>
      </c>
      <c r="J19" s="284">
        <f>+AVERAGE(I19:I30)</f>
        <v>0.79166666666666663</v>
      </c>
    </row>
    <row r="20" spans="1:10" ht="38.25" x14ac:dyDescent="0.25">
      <c r="A20" s="1"/>
      <c r="B20" s="1"/>
      <c r="C20" s="93">
        <v>2</v>
      </c>
      <c r="D20" s="272"/>
      <c r="E20" s="146" t="str">
        <f>+IFERROR(INDEX(Hoja1!$E$2:$E$45,MATCH('Análisis Resultados'!C20,Hoja1!$H$2:$H$45,0)),"")</f>
        <v>Un manual de funciones que describa los empleos de la entidad</v>
      </c>
      <c r="F20" s="141" t="str">
        <f>+IFERROR(VLOOKUP(C20,Hoja1!$H$2:$I$45,2,0),"")</f>
        <v>En proceso</v>
      </c>
      <c r="G20" s="151" t="str">
        <f t="shared" ref="G20:G62" si="0">+IF(F20="Si","Existe requerimiento pero se requiere actividades  dirigidas a su mantenimiento dentro del marco de las lineas de defensa.",IF(F20="En proceso","Se encuentra en proceso, pero requiere continuar con acciones dirigidas a contar con dicho aspecto de control.","No se encuentra el aspecto  por lo tanto la entidad debera generar acciones dirigidas a que se cumpla con el requerimiento."))</f>
        <v>Se encuentra en proceso, pero requiere continuar con acciones dirigidas a contar con dicho aspecto de control.</v>
      </c>
      <c r="I20" s="95">
        <f t="shared" ref="I20:I62" si="1">+IF(F20="Si",1,IF(F20="En proceso",0.5,0))</f>
        <v>0.5</v>
      </c>
      <c r="J20" s="285"/>
    </row>
    <row r="21" spans="1:10" ht="49.5" x14ac:dyDescent="0.25">
      <c r="A21" s="1"/>
      <c r="B21" s="1"/>
      <c r="C21" s="93">
        <v>3</v>
      </c>
      <c r="D21" s="272"/>
      <c r="E21" s="146" t="str">
        <f>+IFERROR(INDEX(Hoja1!$E$2:$E$45,MATCH('Análisis Resultados'!C21,Hoja1!$H$2:$H$45,0)),"")</f>
        <v>La documentación de sus procesos y procedimientos o bien una lista de actividades principales que permitan conocer el estado de su gestión</v>
      </c>
      <c r="F21" s="141" t="str">
        <f>+IFERROR(VLOOKUP(C21,Hoja1!$H$2:$I$45,2,0),"")</f>
        <v>En proceso</v>
      </c>
      <c r="G21" s="151" t="str">
        <f t="shared" si="0"/>
        <v>Se encuentra en proceso, pero requiere continuar con acciones dirigidas a contar con dicho aspecto de control.</v>
      </c>
      <c r="I21" s="95">
        <f t="shared" si="1"/>
        <v>0.5</v>
      </c>
      <c r="J21" s="285"/>
    </row>
    <row r="22" spans="1:10" ht="56.25" customHeight="1" x14ac:dyDescent="0.25">
      <c r="A22" s="1"/>
      <c r="B22" s="1"/>
      <c r="C22" s="93">
        <v>4</v>
      </c>
      <c r="D22" s="272"/>
      <c r="E22" s="146" t="str">
        <f>+IFERROR(INDEX(Hoja1!$E$2:$E$45,MATCH('Análisis Resultados'!C22,Hoja1!$H$2:$H$45,0)),"")</f>
        <v>Procesos de desvinculación de servidores de acuerdo con lo previsto en la Constitución Política y las leyes</v>
      </c>
      <c r="F22" s="141" t="str">
        <f>+IFERROR(VLOOKUP(C22,Hoja1!$H$2:$I$45,2,0),"")</f>
        <v>En proceso</v>
      </c>
      <c r="G22" s="151" t="str">
        <f t="shared" si="0"/>
        <v>Se encuentra en proceso, pero requiere continuar con acciones dirigidas a contar con dicho aspecto de control.</v>
      </c>
      <c r="I22" s="95">
        <f t="shared" si="1"/>
        <v>0.5</v>
      </c>
      <c r="J22" s="285"/>
    </row>
    <row r="23" spans="1:10" ht="38.25" x14ac:dyDescent="0.25">
      <c r="A23" s="1"/>
      <c r="B23" s="1"/>
      <c r="C23" s="93">
        <v>5</v>
      </c>
      <c r="D23" s="272"/>
      <c r="E23" s="146" t="str">
        <f>+IFERROR(INDEX(Hoja1!$E$2:$E$45,MATCH('Análisis Resultados'!C23,Hoja1!$H$2:$H$45,0)),"")</f>
        <v>Documento interno o adopción del MECI actualizado</v>
      </c>
      <c r="F23" s="141" t="str">
        <f>+IFERROR(VLOOKUP(C23,Hoja1!$H$2:$I$45,2,0),"")</f>
        <v>Si</v>
      </c>
      <c r="G23" s="151" t="str">
        <f t="shared" si="0"/>
        <v>Existe requerimiento pero se requiere actividades  dirigidas a su mantenimiento dentro del marco de las lineas de defensa.</v>
      </c>
      <c r="I23" s="95">
        <f t="shared" si="1"/>
        <v>1</v>
      </c>
      <c r="J23" s="285"/>
    </row>
    <row r="24" spans="1:10" ht="49.5" x14ac:dyDescent="0.25">
      <c r="A24" s="1"/>
      <c r="B24" s="1"/>
      <c r="C24" s="93">
        <v>6</v>
      </c>
      <c r="D24" s="272"/>
      <c r="E24" s="146" t="str">
        <f>+IFERROR(INDEX(Hoja1!$E$2:$E$45,MATCH('Análisis Resultados'!C24,Hoja1!$H$2:$H$45,0)),"")</f>
        <v>Un documento tal como un código de ética, integridad u otro que formalice los estándares de conducta, los principios institucionales o los valores del servicio público</v>
      </c>
      <c r="F24" s="141" t="str">
        <f>+IFERROR(VLOOKUP(C24,Hoja1!$H$2:$I$45,2,0),"")</f>
        <v>Si</v>
      </c>
      <c r="G24" s="151" t="str">
        <f t="shared" si="0"/>
        <v>Existe requerimiento pero se requiere actividades  dirigidas a su mantenimiento dentro del marco de las lineas de defensa.</v>
      </c>
      <c r="I24" s="95">
        <f t="shared" si="1"/>
        <v>1</v>
      </c>
      <c r="J24" s="285"/>
    </row>
    <row r="25" spans="1:10" ht="49.5" x14ac:dyDescent="0.25">
      <c r="A25" s="1"/>
      <c r="B25" s="1"/>
      <c r="C25" s="93">
        <v>7</v>
      </c>
      <c r="D25" s="272"/>
      <c r="E25" s="146" t="str">
        <f>+IFERROR(INDEX(Hoja1!$E$2:$E$45,MATCH('Análisis Resultados'!C25,Hoja1!$H$2:$H$45,0)),"")</f>
        <v>Planes, programas y proyectos de acuerdo con las normas que rigen y atendiendo con su propósito fundamental institucional (misión)</v>
      </c>
      <c r="F25" s="141" t="str">
        <f>+IFERROR(VLOOKUP(C25,Hoja1!$H$2:$I$45,2,0),"")</f>
        <v>Si</v>
      </c>
      <c r="G25" s="151" t="str">
        <f t="shared" si="0"/>
        <v>Existe requerimiento pero se requiere actividades  dirigidas a su mantenimiento dentro del marco de las lineas de defensa.</v>
      </c>
      <c r="I25" s="95">
        <f t="shared" si="1"/>
        <v>1</v>
      </c>
      <c r="J25" s="285"/>
    </row>
    <row r="26" spans="1:10" ht="38.25" x14ac:dyDescent="0.25">
      <c r="A26" s="1"/>
      <c r="B26" s="1"/>
      <c r="C26" s="93">
        <v>8</v>
      </c>
      <c r="D26" s="272"/>
      <c r="E26" s="146" t="str">
        <f>+IFERROR(INDEX(Hoja1!$E$2:$E$45,MATCH('Análisis Resultados'!C26,Hoja1!$H$2:$H$45,0)),"")</f>
        <v>Una estructura organizacional formalizada (organigrama)</v>
      </c>
      <c r="F26" s="141" t="str">
        <f>+IFERROR(VLOOKUP(C26,Hoja1!$H$2:$I$45,2,0),"")</f>
        <v>Si</v>
      </c>
      <c r="G26" s="151" t="str">
        <f t="shared" si="0"/>
        <v>Existe requerimiento pero se requiere actividades  dirigidas a su mantenimiento dentro del marco de las lineas de defensa.</v>
      </c>
      <c r="I26" s="95">
        <f t="shared" si="1"/>
        <v>1</v>
      </c>
      <c r="J26" s="285"/>
    </row>
    <row r="27" spans="1:10" ht="49.5" x14ac:dyDescent="0.25">
      <c r="A27" s="1"/>
      <c r="B27" s="1"/>
      <c r="C27" s="93">
        <v>9</v>
      </c>
      <c r="D27" s="272"/>
      <c r="E27" s="146" t="str">
        <f>+IFERROR(INDEX(Hoja1!$E$2:$E$45,MATCH('Análisis Resultados'!C27,Hoja1!$H$2:$H$45,0)),"")</f>
        <v>Vinculación de los servidores públicos de acuerdo con el marco normativo que les rige (carrera administrativa, libre nombramiento y remoción, entre otros)</v>
      </c>
      <c r="F27" s="141" t="str">
        <f>+IFERROR(VLOOKUP(C27,Hoja1!$H$2:$I$45,2,0),"")</f>
        <v>Si</v>
      </c>
      <c r="G27" s="151" t="str">
        <f t="shared" si="0"/>
        <v>Existe requerimiento pero se requiere actividades  dirigidas a su mantenimiento dentro del marco de las lineas de defensa.</v>
      </c>
      <c r="I27" s="95">
        <f t="shared" si="1"/>
        <v>1</v>
      </c>
      <c r="J27" s="285"/>
    </row>
    <row r="28" spans="1:10" ht="49.5" x14ac:dyDescent="0.25">
      <c r="A28" s="1"/>
      <c r="B28" s="1"/>
      <c r="C28" s="93">
        <v>10</v>
      </c>
      <c r="D28" s="272"/>
      <c r="E28" s="146" t="str">
        <f>+IFERROR(INDEX(Hoja1!$E$2:$E$45,MATCH('Análisis Resultados'!C28,Hoja1!$H$2:$H$45,0)),"")</f>
        <v>Procesos de inducción, capacitación y bienestar social para sus servidores públicos, de manera directa o en asociación con otras entidades municipales</v>
      </c>
      <c r="F28" s="141" t="str">
        <f>+IFERROR(VLOOKUP(C28,Hoja1!$H$2:$I$45,2,0),"")</f>
        <v>Si</v>
      </c>
      <c r="G28" s="151" t="str">
        <f t="shared" si="0"/>
        <v>Existe requerimiento pero se requiere actividades  dirigidas a su mantenimiento dentro del marco de las lineas de defensa.</v>
      </c>
      <c r="I28" s="95">
        <f t="shared" si="1"/>
        <v>1</v>
      </c>
      <c r="J28" s="285"/>
    </row>
    <row r="29" spans="1:10" ht="38.25" x14ac:dyDescent="0.25">
      <c r="A29" s="1"/>
      <c r="B29" s="1"/>
      <c r="C29" s="93">
        <v>11</v>
      </c>
      <c r="D29" s="272"/>
      <c r="E29" s="146" t="str">
        <f>+IFERROR(INDEX(Hoja1!$E$2:$E$45,MATCH('Análisis Resultados'!C29,Hoja1!$H$2:$H$45,0)),"")</f>
        <v>Mecanismos de rendición de cuentas a la ciudadanía</v>
      </c>
      <c r="F29" s="141" t="str">
        <f>+IFERROR(VLOOKUP(C29,Hoja1!$H$2:$I$45,2,0),"")</f>
        <v>Si</v>
      </c>
      <c r="G29" s="151" t="str">
        <f>+IF(F29="Si","Existe requerimiento pero se requiere actividades  dirigidas a su mantenimiento dentro del marco de las lineas de defensa.",IF(F29="En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I29" s="95">
        <f t="shared" si="1"/>
        <v>1</v>
      </c>
      <c r="J29" s="285"/>
    </row>
    <row r="30" spans="1:10" ht="39" thickBot="1" x14ac:dyDescent="0.3">
      <c r="A30" s="1"/>
      <c r="B30" s="1"/>
      <c r="C30" s="93">
        <v>12</v>
      </c>
      <c r="D30" s="273"/>
      <c r="E30" s="147" t="str">
        <f>+IFERROR(INDEX(Hoja1!$E$2:$E$45,MATCH('Análisis Resultados'!C30,Hoja1!$H$2:$H$45,0)),"")</f>
        <v>Presentación oportuna de sus informes de gestión a las autoridades competentes</v>
      </c>
      <c r="F30" s="142" t="str">
        <f>+IFERROR(VLOOKUP(C30,Hoja1!$H$2:$I$45,2,0),"")</f>
        <v>Si</v>
      </c>
      <c r="G30" s="152" t="str">
        <f t="shared" si="0"/>
        <v>Existe requerimiento pero se requiere actividades  dirigidas a su mantenimiento dentro del marco de las lineas de defensa.</v>
      </c>
      <c r="I30" s="96">
        <f t="shared" si="1"/>
        <v>1</v>
      </c>
      <c r="J30" s="286"/>
    </row>
    <row r="31" spans="1:10" ht="45" customHeight="1" x14ac:dyDescent="0.25">
      <c r="A31" s="1"/>
      <c r="B31" s="1"/>
      <c r="C31" s="93">
        <v>13</v>
      </c>
      <c r="D31" s="298" t="s">
        <v>61</v>
      </c>
      <c r="E31" s="145" t="str">
        <f>+IFERROR(INDEX(Hoja1!$E$2:$E$45,MATCH('Análisis Resultados'!C31,Hoja1!$H$2:$H$45,0)),"")</f>
        <v>Hacen seguimiento a los problemas (riesgos)  que pueden afectar el cumplimiento de sus procesos, programas o proyectos a cargo</v>
      </c>
      <c r="F31" s="140" t="str">
        <f>+IFERROR(VLOOKUP(C31,Hoja1!$H$2:$I$45,2,0),"")</f>
        <v>En proceso</v>
      </c>
      <c r="G31" s="150" t="str">
        <f t="shared" si="0"/>
        <v>Se encuentra en proceso, pero requiere continuar con acciones dirigidas a contar con dicho aspecto de control.</v>
      </c>
      <c r="I31" s="94">
        <f t="shared" si="1"/>
        <v>0.5</v>
      </c>
      <c r="J31" s="282">
        <f>+AVERAGE(I31:I40)</f>
        <v>0.7</v>
      </c>
    </row>
    <row r="32" spans="1:10" ht="57" customHeight="1" x14ac:dyDescent="0.25">
      <c r="A32" s="1"/>
      <c r="B32" s="1"/>
      <c r="C32" s="93">
        <v>14</v>
      </c>
      <c r="D32" s="299"/>
      <c r="E32" s="146" t="str">
        <f>+IFERROR(INDEX(Hoja1!$E$2:$E$45,MATCH('Análisis Resultados'!C32,Hoja1!$H$2:$H$45,0)),"")</f>
        <v>Informan de manera periódica a quien corresponda sobre el desempeño de las actividades de gestión de riesgos</v>
      </c>
      <c r="F32" s="141" t="str">
        <f>+IFERROR(VLOOKUP(C32,Hoja1!$H$2:$I$45,2,0),"")</f>
        <v>En proceso</v>
      </c>
      <c r="G32" s="151" t="str">
        <f t="shared" si="0"/>
        <v>Se encuentra en proceso, pero requiere continuar con acciones dirigidas a contar con dicho aspecto de control.</v>
      </c>
      <c r="I32" s="95">
        <f t="shared" si="1"/>
        <v>0.5</v>
      </c>
      <c r="J32" s="283"/>
    </row>
    <row r="33" spans="1:10" ht="54" customHeight="1" x14ac:dyDescent="0.25">
      <c r="A33" s="1"/>
      <c r="B33" s="1"/>
      <c r="C33" s="93">
        <v>15</v>
      </c>
      <c r="D33" s="299"/>
      <c r="E33" s="146" t="str">
        <f>+IFERROR(INDEX(Hoja1!$E$2:$E$45,MATCH('Análisis Resultados'!C33,Hoja1!$H$2:$H$45,0)),"")</f>
        <v>Identifican deficiencias en las maneras de  controlar los riesgos o problemas en sus procesos, programas o proyectos, y propone los ajustes necesarios</v>
      </c>
      <c r="F33" s="141" t="str">
        <f>+IFERROR(VLOOKUP(C33,Hoja1!$H$2:$I$45,2,0),"")</f>
        <v>En proceso</v>
      </c>
      <c r="G33" s="151" t="str">
        <f t="shared" si="0"/>
        <v>Se encuentra en proceso, pero requiere continuar con acciones dirigidas a contar con dicho aspecto de control.</v>
      </c>
      <c r="I33" s="95">
        <f t="shared" si="1"/>
        <v>0.5</v>
      </c>
      <c r="J33" s="283"/>
    </row>
    <row r="34" spans="1:10" ht="38.25" x14ac:dyDescent="0.25">
      <c r="A34" s="1"/>
      <c r="B34" s="1"/>
      <c r="C34" s="93">
        <v>16</v>
      </c>
      <c r="D34" s="299"/>
      <c r="E34" s="146" t="str">
        <f>+IFERROR(INDEX(Hoja1!$E$2:$E$45,MATCH('Análisis Resultados'!C34,Hoja1!$H$2:$H$45,0)),"")</f>
        <v>Se definen espacios de reunión para conocerlos y proponer acciones para su solución</v>
      </c>
      <c r="F34" s="141" t="str">
        <f>+IFERROR(VLOOKUP(C34,Hoja1!$H$2:$I$45,2,0),"")</f>
        <v>En proceso</v>
      </c>
      <c r="G34" s="151" t="str">
        <f t="shared" si="0"/>
        <v>Se encuentra en proceso, pero requiere continuar con acciones dirigidas a contar con dicho aspecto de control.</v>
      </c>
      <c r="I34" s="95">
        <f t="shared" si="1"/>
        <v>0.5</v>
      </c>
      <c r="J34" s="283"/>
    </row>
    <row r="35" spans="1:10" ht="67.5" customHeight="1" x14ac:dyDescent="0.25">
      <c r="A35" s="1"/>
      <c r="B35" s="1"/>
      <c r="C35" s="93">
        <v>17</v>
      </c>
      <c r="D35" s="299"/>
      <c r="E35" s="146" t="str">
        <f>+IFERROR(INDEX(Hoja1!$E$2:$E$45,MATCH('Análisis Resultados'!C35,Hoja1!$H$2:$H$45,0)),"")</f>
        <v>Cada líder del equipo autónomamente toma las acciones para solucionarlos.</v>
      </c>
      <c r="F35" s="141" t="str">
        <f>+IFERROR(VLOOKUP(C35,Hoja1!$H$2:$I$45,2,0),"")</f>
        <v>En proceso</v>
      </c>
      <c r="G35" s="151" t="str">
        <f t="shared" si="0"/>
        <v>Se encuentra en proceso, pero requiere continuar con acciones dirigidas a contar con dicho aspecto de control.</v>
      </c>
      <c r="I35" s="95">
        <f t="shared" si="1"/>
        <v>0.5</v>
      </c>
      <c r="J35" s="283"/>
    </row>
    <row r="36" spans="1:10" ht="38.25" x14ac:dyDescent="0.25">
      <c r="A36" s="1"/>
      <c r="B36" s="1"/>
      <c r="C36" s="93">
        <v>18</v>
      </c>
      <c r="D36" s="299"/>
      <c r="E36" s="146" t="str">
        <f>+IFERROR(INDEX(Hoja1!$E$2:$E$45,MATCH('Análisis Resultados'!C36,Hoja1!$H$2:$H$45,0)),"")</f>
        <v>Solamente hasta que un organismo de control actúa se definen acciones de mejora.</v>
      </c>
      <c r="F36" s="141" t="str">
        <f>+IFERROR(VLOOKUP(C36,Hoja1!$H$2:$I$45,2,0),"")</f>
        <v>En proceso</v>
      </c>
      <c r="G36" s="151" t="str">
        <f t="shared" si="0"/>
        <v>Se encuentra en proceso, pero requiere continuar con acciones dirigidas a contar con dicho aspecto de control.</v>
      </c>
      <c r="I36" s="95">
        <f t="shared" si="1"/>
        <v>0.5</v>
      </c>
      <c r="J36" s="283"/>
    </row>
    <row r="37" spans="1:10" ht="57" customHeight="1" x14ac:dyDescent="0.25">
      <c r="A37" s="1"/>
      <c r="B37" s="1"/>
      <c r="C37" s="93">
        <v>19</v>
      </c>
      <c r="D37" s="299"/>
      <c r="E37" s="146" t="str">
        <f>+IFERROR(INDEX(Hoja1!$E$2:$E$45,MATCH('Análisis Resultados'!C37,Hoja1!$H$2:$H$45,0)),"")</f>
        <v>La identificación de cambios en su entorno que pueden generar consecuencias negativas en su gestión</v>
      </c>
      <c r="F37" s="141" t="str">
        <f>+IFERROR(VLOOKUP(C37,Hoja1!$H$2:$I$45,2,0),"")</f>
        <v>Si</v>
      </c>
      <c r="G37" s="151" t="str">
        <f t="shared" si="0"/>
        <v>Existe requerimiento pero se requiere actividades  dirigidas a su mantenimiento dentro del marco de las lineas de defensa.</v>
      </c>
      <c r="I37" s="95">
        <f t="shared" si="1"/>
        <v>1</v>
      </c>
      <c r="J37" s="283"/>
    </row>
    <row r="38" spans="1:10" ht="49.5" x14ac:dyDescent="0.25">
      <c r="A38" s="1"/>
      <c r="B38" s="1"/>
      <c r="C38" s="93">
        <v>20</v>
      </c>
      <c r="D38" s="299"/>
      <c r="E38" s="146" t="str">
        <f>+IFERROR(INDEX(Hoja1!$E$2:$E$45,MATCH('Análisis Resultados'!C38,Hoja1!$H$2:$H$45,0)),"")</f>
        <v>La identificación de aquellos problemas o aspectos que pueden afectar el cumplimiento de los planes de la entidad y en general su gestión institucional (riesgos)</v>
      </c>
      <c r="F38" s="141" t="str">
        <f>+IFERROR(VLOOKUP(C38,Hoja1!$H$2:$I$45,2,0),"")</f>
        <v>Si</v>
      </c>
      <c r="G38" s="151" t="str">
        <f t="shared" si="0"/>
        <v>Existe requerimiento pero se requiere actividades  dirigidas a su mantenimiento dentro del marco de las lineas de defensa.</v>
      </c>
      <c r="I38" s="95">
        <f t="shared" si="1"/>
        <v>1</v>
      </c>
      <c r="J38" s="283"/>
    </row>
    <row r="39" spans="1:10" ht="38.25" x14ac:dyDescent="0.25">
      <c r="A39" s="1"/>
      <c r="B39" s="1"/>
      <c r="C39" s="93">
        <v>21</v>
      </c>
      <c r="D39" s="299"/>
      <c r="E39" s="146" t="str">
        <f>+IFERROR(INDEX(Hoja1!$E$2:$E$45,MATCH('Análisis Resultados'!C39,Hoja1!$H$2:$H$45,0)),"")</f>
        <v>La identificación  de los riesgos relacionados con posibles actos de corrupción en el ejercicio de sus funciones</v>
      </c>
      <c r="F39" s="141" t="str">
        <f>+IFERROR(VLOOKUP(C39,Hoja1!$H$2:$I$45,2,0),"")</f>
        <v>Si</v>
      </c>
      <c r="G39" s="151" t="str">
        <f t="shared" si="0"/>
        <v>Existe requerimiento pero se requiere actividades  dirigidas a su mantenimiento dentro del marco de las lineas de defensa.</v>
      </c>
      <c r="I39" s="95">
        <f t="shared" si="1"/>
        <v>1</v>
      </c>
      <c r="J39" s="283"/>
    </row>
    <row r="40" spans="1:10" ht="50.25" thickBot="1" x14ac:dyDescent="0.3">
      <c r="A40" s="1"/>
      <c r="B40" s="1"/>
      <c r="C40" s="93">
        <v>22</v>
      </c>
      <c r="D40" s="299"/>
      <c r="E40" s="148" t="str">
        <f>+IFERROR(INDEX(Hoja1!$E$2:$E$45,MATCH('Análisis Resultados'!C40,Hoja1!$H$2:$H$45,0)),"")</f>
        <v>Si su capacidad e infraestructura lo permite, identificación de riesgos asociados a las tecnologías de la información y las comunicaciones</v>
      </c>
      <c r="F40" s="143" t="str">
        <f>+IFERROR(VLOOKUP(C40,Hoja1!$H$2:$I$45,2,0),"")</f>
        <v>Si</v>
      </c>
      <c r="G40" s="153" t="str">
        <f t="shared" si="0"/>
        <v>Existe requerimiento pero se requiere actividades  dirigidas a su mantenimiento dentro del marco de las lineas de defensa.</v>
      </c>
      <c r="I40" s="97">
        <f t="shared" si="1"/>
        <v>1</v>
      </c>
      <c r="J40" s="283"/>
    </row>
    <row r="41" spans="1:10" ht="87.75" customHeight="1" x14ac:dyDescent="0.25">
      <c r="A41" s="1"/>
      <c r="B41" s="1"/>
      <c r="C41" s="93">
        <v>23</v>
      </c>
      <c r="D41" s="294" t="s">
        <v>79</v>
      </c>
      <c r="E41" s="145" t="str">
        <f>+IFERROR(INDEX(Hoja1!$E$2:$E$45,MATCH('Análisis Resultados'!C41,Hoja1!$H$2:$H$45,0)),"")</f>
        <v>Mecanismos de verificación de si se están o no mitigando los riesgos, o en su defecto, elaboración de planes de contingencia para subsanar sus consecuencias</v>
      </c>
      <c r="F41" s="140" t="str">
        <f>+IFERROR(VLOOKUP(C41,Hoja1!$H$2:$I$45,2,0),"")</f>
        <v>En proceso</v>
      </c>
      <c r="G41" s="150" t="str">
        <f t="shared" si="0"/>
        <v>Se encuentra en proceso, pero requiere continuar con acciones dirigidas a contar con dicho aspecto de control.</v>
      </c>
      <c r="I41" s="94">
        <f t="shared" si="1"/>
        <v>0.5</v>
      </c>
      <c r="J41" s="282">
        <f>+AVERAGE(I41:I45)</f>
        <v>0.8</v>
      </c>
    </row>
    <row r="42" spans="1:10" ht="49.5" x14ac:dyDescent="0.25">
      <c r="A42" s="1"/>
      <c r="B42" s="1"/>
      <c r="C42" s="93">
        <v>24</v>
      </c>
      <c r="D42" s="295"/>
      <c r="E42" s="146" t="str">
        <f>+IFERROR(INDEX(Hoja1!$E$2:$E$45,MATCH('Análisis Resultados'!C42,Hoja1!$H$2:$H$45,0)),"")</f>
        <v>Planes, acciones o estrategias que permitan subsanar las consecuencias de la materialización de los riesgos, cuando se presentan</v>
      </c>
      <c r="F42" s="141" t="str">
        <f>+IFERROR(VLOOKUP(C42,Hoja1!$H$2:$I$45,2,0),"")</f>
        <v>En proceso</v>
      </c>
      <c r="G42" s="151" t="str">
        <f t="shared" si="0"/>
        <v>Se encuentra en proceso, pero requiere continuar con acciones dirigidas a contar con dicho aspecto de control.</v>
      </c>
      <c r="I42" s="95">
        <f t="shared" si="1"/>
        <v>0.5</v>
      </c>
      <c r="J42" s="283"/>
    </row>
    <row r="43" spans="1:10" ht="85.5" customHeight="1" x14ac:dyDescent="0.25">
      <c r="A43" s="1"/>
      <c r="B43" s="1"/>
      <c r="C43" s="93">
        <v>25</v>
      </c>
      <c r="D43" s="295"/>
      <c r="E43" s="146" t="str">
        <f>+IFERROR(INDEX(Hoja1!$E$2:$E$45,MATCH('Análisis Resultados'!C43,Hoja1!$H$2:$H$45,0)),"")</f>
        <v>La definición de acciones o actividades para para dar tratamiento a los problemas identificados (mitigación de riesgos), incluyendo aquellos asociados a posibles actos de corrupción</v>
      </c>
      <c r="F43" s="141" t="str">
        <f>+IFERROR(VLOOKUP(C43,Hoja1!$H$2:$I$45,2,0),"")</f>
        <v>Si</v>
      </c>
      <c r="G43" s="151" t="str">
        <f t="shared" si="0"/>
        <v>Existe requerimiento pero se requiere actividades  dirigidas a su mantenimiento dentro del marco de las lineas de defensa.</v>
      </c>
      <c r="I43" s="95">
        <f t="shared" si="1"/>
        <v>1</v>
      </c>
      <c r="J43" s="283"/>
    </row>
    <row r="44" spans="1:10" ht="57" customHeight="1" x14ac:dyDescent="0.25">
      <c r="A44" s="1"/>
      <c r="B44" s="1"/>
      <c r="C44" s="93">
        <v>26</v>
      </c>
      <c r="D44" s="295"/>
      <c r="E44" s="146" t="str">
        <f>+IFERROR(INDEX(Hoja1!$E$2:$E$45,MATCH('Análisis Resultados'!C44,Hoja1!$H$2:$H$45,0)),"")</f>
        <v>Un documento que consolide  los riesgos  y el tratamiento que se les da, incluyendo aquellos que conllevan posibles actos de corrupción y si la capacidad e infraestructura lo permite, los asociados con las tecnologías de la información y las comunicaciones</v>
      </c>
      <c r="F44" s="141" t="str">
        <f>+IFERROR(VLOOKUP(C44,Hoja1!$H$2:$I$45,2,0),"")</f>
        <v>Si</v>
      </c>
      <c r="G44" s="151" t="str">
        <f t="shared" si="0"/>
        <v>Existe requerimiento pero se requiere actividades  dirigidas a su mantenimiento dentro del marco de las lineas de defensa.</v>
      </c>
      <c r="I44" s="95">
        <f t="shared" si="1"/>
        <v>1</v>
      </c>
      <c r="J44" s="283"/>
    </row>
    <row r="45" spans="1:10" ht="57" customHeight="1" thickBot="1" x14ac:dyDescent="0.3">
      <c r="A45" s="1"/>
      <c r="B45" s="1"/>
      <c r="C45" s="93">
        <v>27</v>
      </c>
      <c r="D45" s="296"/>
      <c r="E45" s="147" t="str">
        <f>+IFERROR(INDEX(Hoja1!$E$2:$E$45,MATCH('Análisis Resultados'!C45,Hoja1!$H$2:$H$45,0)),"")</f>
        <v>Un plan anticorrupción y de servicio al ciudadano con los temas que le aplican, publicado en algún medio para conocimiento de la ciudadanía</v>
      </c>
      <c r="F45" s="142" t="str">
        <f>+IFERROR(VLOOKUP(C45,Hoja1!$H$2:$I$45,2,0),"")</f>
        <v>Si</v>
      </c>
      <c r="G45" s="152" t="str">
        <f t="shared" si="0"/>
        <v>Existe requerimiento pero se requiere actividades  dirigidas a su mantenimiento dentro del marco de las lineas de defensa.</v>
      </c>
      <c r="I45" s="96">
        <f t="shared" si="1"/>
        <v>1</v>
      </c>
      <c r="J45" s="297"/>
    </row>
    <row r="46" spans="1:10" ht="63.75" customHeight="1" x14ac:dyDescent="0.25">
      <c r="A46" s="1"/>
      <c r="B46" s="1"/>
      <c r="C46" s="93">
        <v>28</v>
      </c>
      <c r="D46" s="293" t="s">
        <v>87</v>
      </c>
      <c r="E46" s="149" t="str">
        <f>+IFERROR(INDEX(Hoja1!$E$2:$E$45,MATCH('Análisis Resultados'!C46,Hoja1!$H$2:$H$45,0)),"")</f>
        <v xml:space="preserve">Lineamientos para dar tratamiento a la información de carácter reservado </v>
      </c>
      <c r="F46" s="144" t="str">
        <f>+IFERROR(VLOOKUP(C46,Hoja1!$H$2:$I$45,2,0),"")</f>
        <v>No</v>
      </c>
      <c r="G46" s="154" t="str">
        <f t="shared" si="0"/>
        <v>No se encuentra el aspecto  por lo tanto la entidad debera generar acciones dirigidas a que se cumpla con el requerimiento.</v>
      </c>
      <c r="I46" s="98">
        <f t="shared" si="1"/>
        <v>0</v>
      </c>
      <c r="J46" s="283">
        <f>+AVERAGE(I46:I52)</f>
        <v>0.7142857142857143</v>
      </c>
    </row>
    <row r="47" spans="1:10" ht="92.25" customHeight="1" x14ac:dyDescent="0.25">
      <c r="A47" s="1"/>
      <c r="B47" s="1"/>
      <c r="C47" s="93">
        <v>29</v>
      </c>
      <c r="D47" s="293"/>
      <c r="E47" s="146" t="str">
        <f>+IFERROR(INDEX(Hoja1!$E$2:$E$45,MATCH('Análisis Resultados'!C47,Hoja1!$H$2:$H$45,0)),"")</f>
        <v>Identificación de información que produce en el marco de su gestión (Para los ciudadanos, organismos de control, organismos gubernamentales, entre otros)</v>
      </c>
      <c r="F47" s="141" t="str">
        <f>+IFERROR(VLOOKUP(C47,Hoja1!$H$2:$I$45,2,0),"")</f>
        <v>No</v>
      </c>
      <c r="G47" s="155" t="str">
        <f t="shared" si="0"/>
        <v>No se encuentra el aspecto  por lo tanto la entidad debera generar acciones dirigidas a que se cumpla con el requerimiento.</v>
      </c>
      <c r="I47" s="99">
        <f t="shared" si="1"/>
        <v>0</v>
      </c>
      <c r="J47" s="283"/>
    </row>
    <row r="48" spans="1:10" ht="66.75" customHeight="1" x14ac:dyDescent="0.25">
      <c r="A48" s="1"/>
      <c r="B48" s="1"/>
      <c r="C48" s="93">
        <v>30</v>
      </c>
      <c r="D48" s="293"/>
      <c r="E48" s="146" t="str">
        <f>+IFERROR(INDEX(Hoja1!$E$2:$E$45,MATCH('Análisis Resultados'!C48,Hoja1!$H$2:$H$45,0)),"")</f>
        <v>Responsables de la información institucional</v>
      </c>
      <c r="F48" s="141" t="str">
        <f>+IFERROR(VLOOKUP(C48,Hoja1!$H$2:$I$45,2,0),"")</f>
        <v>Si</v>
      </c>
      <c r="G48" s="155" t="str">
        <f t="shared" si="0"/>
        <v>Existe requerimiento pero se requiere actividades  dirigidas a su mantenimiento dentro del marco de las lineas de defensa.</v>
      </c>
      <c r="I48" s="99">
        <f t="shared" si="1"/>
        <v>1</v>
      </c>
      <c r="J48" s="283"/>
    </row>
    <row r="49" spans="1:10" ht="60" customHeight="1" x14ac:dyDescent="0.25">
      <c r="A49" s="1"/>
      <c r="B49" s="1"/>
      <c r="C49" s="93">
        <v>31</v>
      </c>
      <c r="D49" s="293"/>
      <c r="E49" s="146" t="str">
        <f>+IFERROR(INDEX(Hoja1!$E$2:$E$45,MATCH('Análisis Resultados'!C49,Hoja1!$H$2:$H$45,0)),"")</f>
        <v>Canales de comunicación con los ciudadanos</v>
      </c>
      <c r="F49" s="141" t="str">
        <f>+IFERROR(VLOOKUP(C49,Hoja1!$H$2:$I$45,2,0),"")</f>
        <v>Si</v>
      </c>
      <c r="G49" s="155" t="str">
        <f t="shared" si="0"/>
        <v>Existe requerimiento pero se requiere actividades  dirigidas a su mantenimiento dentro del marco de las lineas de defensa.</v>
      </c>
      <c r="I49" s="99">
        <f t="shared" si="1"/>
        <v>1</v>
      </c>
      <c r="J49" s="283"/>
    </row>
    <row r="50" spans="1:10" ht="57" customHeight="1" x14ac:dyDescent="0.25">
      <c r="A50" s="1"/>
      <c r="B50" s="1"/>
      <c r="C50" s="93">
        <v>32</v>
      </c>
      <c r="D50" s="293"/>
      <c r="E50" s="146" t="str">
        <f>+IFERROR(INDEX(Hoja1!$E$2:$E$45,MATCH('Análisis Resultados'!C50,Hoja1!$H$2:$H$45,0)),"")</f>
        <v>Canales de comunicación o mecanismos de reporte de información a otros organismos gubernamentales o de control</v>
      </c>
      <c r="F50" s="141" t="str">
        <f>+IFERROR(VLOOKUP(C50,Hoja1!$H$2:$I$45,2,0),"")</f>
        <v>Si</v>
      </c>
      <c r="G50" s="155" t="str">
        <f t="shared" si="0"/>
        <v>Existe requerimiento pero se requiere actividades  dirigidas a su mantenimiento dentro del marco de las lineas de defensa.</v>
      </c>
      <c r="I50" s="99">
        <f t="shared" si="1"/>
        <v>1</v>
      </c>
      <c r="J50" s="283"/>
    </row>
    <row r="51" spans="1:10" ht="57" customHeight="1" x14ac:dyDescent="0.25">
      <c r="A51" s="1"/>
      <c r="B51" s="1"/>
      <c r="C51" s="93">
        <v>33</v>
      </c>
      <c r="D51" s="293"/>
      <c r="E51" s="146" t="str">
        <f>+IFERROR(INDEX(Hoja1!$E$2:$E$45,MATCH('Análisis Resultados'!C51,Hoja1!$H$2:$H$45,0)),"")</f>
        <v>Identificación de información necesaria para la operación de la entidad (normograma, presupuesto, talento humano, infraestructura física y tecnológica)</v>
      </c>
      <c r="F51" s="141" t="str">
        <f>+IFERROR(VLOOKUP(C51,Hoja1!$H$2:$I$45,2,0),"")</f>
        <v>Si</v>
      </c>
      <c r="G51" s="155" t="str">
        <f t="shared" si="0"/>
        <v>Existe requerimiento pero se requiere actividades  dirigidas a su mantenimiento dentro del marco de las lineas de defensa.</v>
      </c>
      <c r="I51" s="99">
        <f t="shared" si="1"/>
        <v>1</v>
      </c>
      <c r="J51" s="283"/>
    </row>
    <row r="52" spans="1:10" ht="39" thickBot="1" x14ac:dyDescent="0.3">
      <c r="A52" s="1"/>
      <c r="B52" s="1"/>
      <c r="C52" s="93">
        <v>34</v>
      </c>
      <c r="D52" s="293"/>
      <c r="E52" s="148" t="str">
        <f>+IFERROR(INDEX(Hoja1!$E$2:$E$45,MATCH('Análisis Resultados'!C52,Hoja1!$H$2:$H$45,0)),"")</f>
        <v>Si su capacidad e infraestructura lo permite, tecnologías de la información y las comunicaciones que soporten estos procesos</v>
      </c>
      <c r="F52" s="143" t="str">
        <f>+IFERROR(VLOOKUP(C52,Hoja1!$H$2:$I$45,2,0),"")</f>
        <v>Si</v>
      </c>
      <c r="G52" s="156" t="str">
        <f t="shared" si="0"/>
        <v>Existe requerimiento pero se requiere actividades  dirigidas a su mantenimiento dentro del marco de las lineas de defensa.</v>
      </c>
      <c r="I52" s="100">
        <f t="shared" si="1"/>
        <v>1</v>
      </c>
      <c r="J52" s="283"/>
    </row>
    <row r="53" spans="1:10" ht="41.25" customHeight="1" x14ac:dyDescent="0.25">
      <c r="A53" s="1"/>
      <c r="B53" s="1"/>
      <c r="C53" s="93">
        <v>35</v>
      </c>
      <c r="D53" s="287" t="s">
        <v>97</v>
      </c>
      <c r="E53" s="145" t="str">
        <f>+IFERROR(INDEX(Hoja1!$E$2:$E$45,MATCH('Análisis Resultados'!C53,Hoja1!$H$2:$H$45,0)),"")</f>
        <v>Seguimiento a los planes de mejoramiento suscritos con instancias de control internas o externas</v>
      </c>
      <c r="F53" s="140" t="str">
        <f>+IFERROR(VLOOKUP(C53,Hoja1!$H$2:$I$45,2,0),"")</f>
        <v>En proceso</v>
      </c>
      <c r="G53" s="150" t="str">
        <f t="shared" si="0"/>
        <v>Se encuentra en proceso, pero requiere continuar con acciones dirigidas a contar con dicho aspecto de control.</v>
      </c>
      <c r="I53" s="94">
        <f t="shared" si="1"/>
        <v>0.5</v>
      </c>
      <c r="J53" s="290">
        <f>+AVERAGE(I53:I62)</f>
        <v>0.7</v>
      </c>
    </row>
    <row r="54" spans="1:10" ht="58.5" customHeight="1" x14ac:dyDescent="0.25">
      <c r="A54" s="1"/>
      <c r="B54" s="1"/>
      <c r="C54" s="93">
        <v>36</v>
      </c>
      <c r="D54" s="288"/>
      <c r="E54" s="146" t="str">
        <f>+IFERROR(INDEX(Hoja1!$E$2:$E$45,MATCH('Análisis Resultados'!C54,Hoja1!$H$2:$H$45,0)),"")</f>
        <v>Evitar que los problemas (riesgos) obstaculicen el cumplimiento de los objetivos.</v>
      </c>
      <c r="F54" s="141" t="str">
        <f>+IFERROR(VLOOKUP(C54,Hoja1!$H$2:$I$45,2,0),"")</f>
        <v>En proceso</v>
      </c>
      <c r="G54" s="151" t="str">
        <f t="shared" si="0"/>
        <v>Se encuentra en proceso, pero requiere continuar con acciones dirigidas a contar con dicho aspecto de control.</v>
      </c>
      <c r="I54" s="95">
        <f t="shared" si="1"/>
        <v>0.5</v>
      </c>
      <c r="J54" s="291"/>
    </row>
    <row r="55" spans="1:10" s="1" customFormat="1" ht="84.75" customHeight="1" x14ac:dyDescent="0.25">
      <c r="C55" s="93">
        <v>37</v>
      </c>
      <c r="D55" s="288"/>
      <c r="E55" s="146" t="str">
        <f>+IFERROR(INDEX(Hoja1!$E$2:$E$45,MATCH('Análisis Resultados'!C55,Hoja1!$H$2:$H$45,0)),"")</f>
        <v>Controlar los puntos críticos en los procesos.</v>
      </c>
      <c r="F55" s="141" t="str">
        <f>+IFERROR(VLOOKUP(C55,Hoja1!$H$2:$I$45,2,0),"")</f>
        <v>En proceso</v>
      </c>
      <c r="G55" s="151" t="str">
        <f t="shared" si="0"/>
        <v>Se encuentra en proceso, pero requiere continuar con acciones dirigidas a contar con dicho aspecto de control.</v>
      </c>
      <c r="I55" s="95">
        <f t="shared" si="1"/>
        <v>0.5</v>
      </c>
      <c r="J55" s="291"/>
    </row>
    <row r="56" spans="1:10" s="1" customFormat="1" ht="78.75" customHeight="1" x14ac:dyDescent="0.25">
      <c r="C56" s="93">
        <v>38</v>
      </c>
      <c r="D56" s="288"/>
      <c r="E56" s="146" t="str">
        <f>+IFERROR(INDEX(Hoja1!$E$2:$E$45,MATCH('Análisis Resultados'!C56,Hoja1!$H$2:$H$45,0)),"")</f>
        <v>Diseñar acciones adecuadas para controlar los problemas que afectan el cumplimiento de las metas y objetivos institucionales (riesgos).</v>
      </c>
      <c r="F56" s="141" t="str">
        <f>+IFERROR(VLOOKUP(C56,Hoja1!$H$2:$I$45,2,0),"")</f>
        <v>En proceso</v>
      </c>
      <c r="G56" s="151" t="str">
        <f t="shared" si="0"/>
        <v>Se encuentra en proceso, pero requiere continuar con acciones dirigidas a contar con dicho aspecto de control.</v>
      </c>
      <c r="I56" s="95">
        <f t="shared" si="1"/>
        <v>0.5</v>
      </c>
      <c r="J56" s="291"/>
    </row>
    <row r="57" spans="1:10" s="1" customFormat="1" ht="54.75" customHeight="1" x14ac:dyDescent="0.25">
      <c r="C57" s="93">
        <v>39</v>
      </c>
      <c r="D57" s="288"/>
      <c r="E57" s="146" t="str">
        <f>+IFERROR(INDEX(Hoja1!$E$2:$E$45,MATCH('Análisis Resultados'!C57,Hoja1!$H$2:$H$45,0)),"")</f>
        <v>Ejecutar las acciones de acuerdo a como se diseñaron previamente.</v>
      </c>
      <c r="F57" s="141" t="str">
        <f>+IFERROR(VLOOKUP(C57,Hoja1!$H$2:$I$45,2,0),"")</f>
        <v>En proceso</v>
      </c>
      <c r="G57" s="151" t="str">
        <f t="shared" si="0"/>
        <v>Se encuentra en proceso, pero requiere continuar con acciones dirigidas a contar con dicho aspecto de control.</v>
      </c>
      <c r="I57" s="95">
        <f t="shared" si="1"/>
        <v>0.5</v>
      </c>
      <c r="J57" s="291"/>
    </row>
    <row r="58" spans="1:10" s="1" customFormat="1" ht="68.25" customHeight="1" x14ac:dyDescent="0.25">
      <c r="C58" s="93">
        <v>40</v>
      </c>
      <c r="D58" s="288"/>
      <c r="E58" s="146" t="str">
        <f>+IFERROR(INDEX(Hoja1!$E$2:$E$45,MATCH('Análisis Resultados'!C58,Hoja1!$H$2:$H$45,0)),"")</f>
        <v>No se gestionan los problemas que afectan el cumplimiento de las funciones y objetivos institucionales(riesgos).</v>
      </c>
      <c r="F58" s="141" t="str">
        <f>+IFERROR(VLOOKUP(C58,Hoja1!$H$2:$I$45,2,0),"")</f>
        <v>En proceso</v>
      </c>
      <c r="G58" s="151" t="str">
        <f t="shared" si="0"/>
        <v>Se encuentra en proceso, pero requiere continuar con acciones dirigidas a contar con dicho aspecto de control.</v>
      </c>
      <c r="I58" s="95">
        <f t="shared" si="1"/>
        <v>0.5</v>
      </c>
      <c r="J58" s="291"/>
    </row>
    <row r="59" spans="1:10" s="1" customFormat="1" ht="45" customHeight="1" x14ac:dyDescent="0.25">
      <c r="C59" s="93">
        <v>41</v>
      </c>
      <c r="D59" s="288"/>
      <c r="E59" s="146" t="str">
        <f>+IFERROR(INDEX(Hoja1!$E$2:$E$45,MATCH('Análisis Resultados'!C59,Hoja1!$H$2:$H$45,0)),"")</f>
        <v>Mecanismos de evaluación de la gestión (cronogramas, indicadores, listas de chequeo u otros)</v>
      </c>
      <c r="F59" s="141" t="str">
        <f>+IFERROR(VLOOKUP(C59,Hoja1!$H$2:$I$45,2,0),"")</f>
        <v>Si</v>
      </c>
      <c r="G59" s="151" t="str">
        <f t="shared" si="0"/>
        <v>Existe requerimiento pero se requiere actividades  dirigidas a su mantenimiento dentro del marco de las lineas de defensa.</v>
      </c>
      <c r="I59" s="95">
        <f t="shared" si="1"/>
        <v>1</v>
      </c>
      <c r="J59" s="291"/>
    </row>
    <row r="60" spans="1:10" s="1" customFormat="1" ht="51.75" customHeight="1" x14ac:dyDescent="0.25">
      <c r="C60" s="93">
        <v>42</v>
      </c>
      <c r="D60" s="288"/>
      <c r="E60" s="146" t="str">
        <f>+IFERROR(INDEX(Hoja1!$E$2:$E$45,MATCH('Análisis Resultados'!C60,Hoja1!$H$2:$H$45,0)),"")</f>
        <v>Algún mecanismo para monitorear o supervisar el sistema de control interno institucional, ya sea por parte del representante legal, o del área de control interno (si la entidad cuenta con ella), o bien a través del Comité departamental o municipal de Auditoría.</v>
      </c>
      <c r="F60" s="141" t="str">
        <f>+IFERROR(VLOOKUP(C60,Hoja1!$H$2:$I$45,2,0),"")</f>
        <v>Si</v>
      </c>
      <c r="G60" s="151" t="str">
        <f t="shared" si="0"/>
        <v>Existe requerimiento pero se requiere actividades  dirigidas a su mantenimiento dentro del marco de las lineas de defensa.</v>
      </c>
      <c r="I60" s="95">
        <f t="shared" si="1"/>
        <v>1</v>
      </c>
      <c r="J60" s="291"/>
    </row>
    <row r="61" spans="1:10" s="1" customFormat="1" ht="84" customHeight="1" x14ac:dyDescent="0.25">
      <c r="C61" s="93">
        <v>43</v>
      </c>
      <c r="D61" s="288"/>
      <c r="E61" s="146" t="str">
        <f>+IFERROR(INDEX(Hoja1!$E$2:$E$45,MATCH('Análisis Resultados'!C61,Hoja1!$H$2:$H$45,0)),"")</f>
        <v>Medidas correctivas en caso de detectarse deficiencias en los ejercicios de evaluación, seguimiento o auditoría</v>
      </c>
      <c r="F61" s="141" t="str">
        <f>+IFERROR(VLOOKUP(C61,Hoja1!$H$2:$I$45,2,0),"")</f>
        <v>Si</v>
      </c>
      <c r="G61" s="151" t="str">
        <f t="shared" si="0"/>
        <v>Existe requerimiento pero se requiere actividades  dirigidas a su mantenimiento dentro del marco de las lineas de defensa.</v>
      </c>
      <c r="I61" s="95">
        <f t="shared" si="1"/>
        <v>1</v>
      </c>
      <c r="J61" s="291"/>
    </row>
    <row r="62" spans="1:10" s="1" customFormat="1" ht="60" customHeight="1" thickBot="1" x14ac:dyDescent="0.3">
      <c r="C62" s="93">
        <v>44</v>
      </c>
      <c r="D62" s="289"/>
      <c r="E62" s="147" t="str">
        <f>+IFERROR(INDEX(Hoja1!$E$2:$E$45,MATCH('Análisis Resultados'!C62,Hoja1!$H$2:$H$45,0)),"")</f>
        <v>La entidad participa en el  Comité Municipal de Auditoría?</v>
      </c>
      <c r="F62" s="142" t="str">
        <f>+IFERROR(VLOOKUP(C62,Hoja1!$H$2:$I$45,2,0),"")</f>
        <v>Si</v>
      </c>
      <c r="G62" s="152" t="str">
        <f t="shared" si="0"/>
        <v>Existe requerimiento pero se requiere actividades  dirigidas a su mantenimiento dentro del marco de las lineas de defensa.</v>
      </c>
      <c r="I62" s="96">
        <f t="shared" si="1"/>
        <v>1</v>
      </c>
      <c r="J62" s="292"/>
    </row>
    <row r="63" spans="1:10" s="1" customFormat="1" x14ac:dyDescent="0.25"/>
    <row r="64" spans="1:10" s="1" customFormat="1" x14ac:dyDescent="0.25"/>
    <row r="65" spans="1:2" s="1" customFormat="1" x14ac:dyDescent="0.25"/>
    <row r="66" spans="1:2" s="1" customFormat="1" x14ac:dyDescent="0.25"/>
    <row r="67" spans="1:2" s="1" customFormat="1" x14ac:dyDescent="0.25"/>
    <row r="68" spans="1:2" s="1" customFormat="1" x14ac:dyDescent="0.25"/>
    <row r="69" spans="1:2" s="1" customFormat="1" x14ac:dyDescent="0.25"/>
    <row r="70" spans="1:2" s="1" customFormat="1" x14ac:dyDescent="0.25"/>
    <row r="71" spans="1:2" x14ac:dyDescent="0.25">
      <c r="A71" s="1"/>
      <c r="B71" s="1"/>
    </row>
    <row r="72" spans="1:2" x14ac:dyDescent="0.25">
      <c r="A72" s="1"/>
      <c r="B72" s="1"/>
    </row>
    <row r="73" spans="1:2" x14ac:dyDescent="0.25">
      <c r="A73" s="1"/>
      <c r="B73" s="1"/>
    </row>
    <row r="74" spans="1:2" x14ac:dyDescent="0.25">
      <c r="A74" s="1"/>
      <c r="B74" s="1"/>
    </row>
  </sheetData>
  <sheetProtection algorithmName="SHA-512" hashValue="2c/K7BVeA+JOjsvnu2HILGfEHHcx80UTyQTucJ5c70tus45UaD3gXdqjB7xLC6LydtmfT9VN5B07LstuhHP+UQ==" saltValue="5+Ylqwr6SZ9tvbSyY2m3gQ==" spinCount="100000" sheet="1" objects="1" scenarios="1" formatCells="0"/>
  <mergeCells count="25">
    <mergeCell ref="J31:J40"/>
    <mergeCell ref="C12:D12"/>
    <mergeCell ref="E12:F12"/>
    <mergeCell ref="J19:J30"/>
    <mergeCell ref="D53:D62"/>
    <mergeCell ref="J53:J62"/>
    <mergeCell ref="D46:D52"/>
    <mergeCell ref="J46:J52"/>
    <mergeCell ref="D41:D45"/>
    <mergeCell ref="J41:J45"/>
    <mergeCell ref="D31:D40"/>
    <mergeCell ref="C11:D11"/>
    <mergeCell ref="E11:F11"/>
    <mergeCell ref="J17:J18"/>
    <mergeCell ref="D19:D30"/>
    <mergeCell ref="C17:C18"/>
    <mergeCell ref="D17:E17"/>
    <mergeCell ref="F17:F18"/>
    <mergeCell ref="G17:G18"/>
    <mergeCell ref="I17:I18"/>
    <mergeCell ref="C7:K7"/>
    <mergeCell ref="C9:D9"/>
    <mergeCell ref="E9:F9"/>
    <mergeCell ref="C10:D10"/>
    <mergeCell ref="E10:F10"/>
  </mergeCells>
  <conditionalFormatting sqref="I19:I62">
    <cfRule type="cellIs" dxfId="16" priority="4" operator="between">
      <formula>0.75</formula>
      <formula>1</formula>
    </cfRule>
    <cfRule type="cellIs" dxfId="15" priority="5" operator="between">
      <formula>0.5</formula>
      <formula>0.74</formula>
    </cfRule>
    <cfRule type="cellIs" dxfId="14" priority="6" operator="between">
      <formula>0</formula>
      <formula>0.49</formula>
    </cfRule>
  </conditionalFormatting>
  <conditionalFormatting sqref="J19:J31 J41 J46 J53">
    <cfRule type="cellIs" priority="1" operator="between">
      <formula>0.75</formula>
      <formula>1</formula>
    </cfRule>
    <cfRule type="cellIs" dxfId="13" priority="2" operator="between">
      <formula>0.5</formula>
      <formula>0.75</formula>
    </cfRule>
    <cfRule type="cellIs" dxfId="12" priority="3" operator="between">
      <formula>0</formula>
      <formula>0.49</formula>
    </cfRule>
  </conditionalFormatting>
  <pageMargins left="0.7" right="0.7" top="0.75" bottom="0.75" header="0.3" footer="0.3"/>
  <pageSetup scale="44" orientation="portrait" r:id="rId1"/>
  <colBreaks count="1" manualBreakCount="1">
    <brk id="10" max="1048575" man="1"/>
  </colBreaks>
  <extLst>
    <ext xmlns:x14="http://schemas.microsoft.com/office/spreadsheetml/2009/9/main" uri="{78C0D931-6437-407d-A8EE-F0AAD7539E65}">
      <x14:conditionalFormattings>
        <x14:conditionalFormatting xmlns:xm="http://schemas.microsoft.com/office/excel/2006/main">
          <x14:cfRule type="containsText" priority="7" operator="containsText" id="{B5EC0094-D2B5-49BB-B6F9-E988382E1263}">
            <xm:f>NOT(ISERROR(SEARCH($E$12,G19)))</xm:f>
            <xm:f>$E$12</xm:f>
            <x14:dxf>
              <fill>
                <patternFill>
                  <bgColor rgb="FFFF0000"/>
                </patternFill>
              </fill>
            </x14:dxf>
          </x14:cfRule>
          <x14:cfRule type="containsText" priority="8" operator="containsText" id="{D802A135-824D-43A0-835B-FE63514274DE}">
            <xm:f>NOT(ISERROR(SEARCH($E$11,G19)))</xm:f>
            <xm:f>$E$11</xm:f>
            <x14:dxf>
              <fill>
                <patternFill>
                  <bgColor rgb="FFFFFF00"/>
                </patternFill>
              </fill>
            </x14:dxf>
          </x14:cfRule>
          <x14:cfRule type="containsText" priority="9" operator="containsText" id="{D7844022-1CB2-4683-9B09-8D3EA8F0FDED}">
            <xm:f>NOT(ISERROR(SEARCH($E$10,G19)))</xm:f>
            <xm:f>$E$10</xm:f>
            <x14:dxf>
              <fill>
                <patternFill>
                  <bgColor rgb="FF00B050"/>
                </patternFill>
              </fill>
            </x14:dxf>
          </x14:cfRule>
          <xm:sqref>G19:G62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41"/>
  <sheetViews>
    <sheetView view="pageBreakPreview" topLeftCell="F28" zoomScale="80" zoomScaleNormal="64" zoomScaleSheetLayoutView="80" workbookViewId="0">
      <selection activeCell="I8" sqref="I8:K8"/>
    </sheetView>
  </sheetViews>
  <sheetFormatPr baseColWidth="10" defaultColWidth="11.42578125" defaultRowHeight="15" x14ac:dyDescent="0.25"/>
  <cols>
    <col min="1" max="1" width="4.42578125" customWidth="1"/>
    <col min="3" max="3" width="35.42578125" customWidth="1"/>
    <col min="4" max="4" width="13" style="160" customWidth="1"/>
    <col min="5" max="5" width="43.28515625" customWidth="1"/>
    <col min="7" max="7" width="33.85546875" customWidth="1"/>
    <col min="9" max="9" width="92.28515625" customWidth="1"/>
    <col min="13" max="13" width="29" customWidth="1"/>
  </cols>
  <sheetData>
    <row r="1" spans="1:17" s="1" customFormat="1" x14ac:dyDescent="0.25">
      <c r="D1" s="158"/>
    </row>
    <row r="2" spans="1:17" ht="15.75" thickBot="1" x14ac:dyDescent="0.3">
      <c r="A2" s="1"/>
      <c r="B2" s="1"/>
      <c r="C2" s="1"/>
      <c r="D2" s="158"/>
      <c r="E2" s="1"/>
      <c r="F2" s="1"/>
      <c r="G2" s="1"/>
      <c r="H2" s="1"/>
      <c r="I2" s="1"/>
      <c r="J2" s="1"/>
      <c r="K2" s="1"/>
      <c r="L2" s="1"/>
      <c r="M2" s="1"/>
      <c r="N2" s="1"/>
      <c r="O2" s="1"/>
      <c r="P2" s="1"/>
      <c r="Q2" s="1"/>
    </row>
    <row r="3" spans="1:17" ht="15.75" thickTop="1" x14ac:dyDescent="0.25">
      <c r="A3" s="1"/>
      <c r="B3" s="2"/>
      <c r="C3" s="3"/>
      <c r="D3" s="159"/>
      <c r="E3" s="3"/>
      <c r="F3" s="3"/>
      <c r="G3" s="3"/>
      <c r="H3" s="3"/>
      <c r="I3" s="3"/>
      <c r="J3" s="3"/>
      <c r="K3" s="3"/>
      <c r="L3" s="3"/>
      <c r="M3" s="3"/>
      <c r="N3" s="3"/>
      <c r="O3" s="3"/>
      <c r="P3" s="4"/>
      <c r="Q3" s="1"/>
    </row>
    <row r="4" spans="1:17" ht="16.5" x14ac:dyDescent="0.3">
      <c r="A4" s="1"/>
      <c r="B4" s="5"/>
      <c r="C4" s="1"/>
      <c r="D4" s="158"/>
      <c r="E4" s="313" t="s">
        <v>124</v>
      </c>
      <c r="F4" s="315" t="s">
        <v>195</v>
      </c>
      <c r="G4" s="315"/>
      <c r="H4" s="315"/>
      <c r="I4" s="315"/>
      <c r="J4" s="315"/>
      <c r="K4" s="315"/>
      <c r="L4" s="315"/>
      <c r="M4" s="315"/>
      <c r="N4" s="6"/>
      <c r="O4" s="6"/>
      <c r="P4" s="7"/>
      <c r="Q4" s="1"/>
    </row>
    <row r="5" spans="1:17" ht="27" customHeight="1" x14ac:dyDescent="0.3">
      <c r="A5" s="1"/>
      <c r="B5" s="5"/>
      <c r="C5" s="1"/>
      <c r="D5" s="158"/>
      <c r="E5" s="314"/>
      <c r="F5" s="315"/>
      <c r="G5" s="315"/>
      <c r="H5" s="315"/>
      <c r="I5" s="315"/>
      <c r="J5" s="315"/>
      <c r="K5" s="315"/>
      <c r="L5" s="315"/>
      <c r="M5" s="315"/>
      <c r="N5" s="6"/>
      <c r="O5" s="6"/>
      <c r="P5" s="7"/>
      <c r="Q5" s="1"/>
    </row>
    <row r="6" spans="1:17" ht="36.75" customHeight="1" x14ac:dyDescent="0.3">
      <c r="A6" s="1"/>
      <c r="B6" s="5"/>
      <c r="C6" s="1"/>
      <c r="D6" s="158"/>
      <c r="E6" s="80" t="s">
        <v>125</v>
      </c>
      <c r="F6" s="316" t="s">
        <v>240</v>
      </c>
      <c r="G6" s="317"/>
      <c r="H6" s="317"/>
      <c r="I6" s="317"/>
      <c r="J6" s="317"/>
      <c r="K6" s="317"/>
      <c r="L6" s="317"/>
      <c r="M6" s="318"/>
      <c r="N6" s="8"/>
      <c r="O6" s="8"/>
      <c r="P6" s="7"/>
      <c r="Q6" s="1"/>
    </row>
    <row r="7" spans="1:17" ht="17.25" thickBot="1" x14ac:dyDescent="0.35">
      <c r="A7" s="1"/>
      <c r="B7" s="5"/>
      <c r="C7" s="1"/>
      <c r="D7" s="158"/>
      <c r="E7" s="9"/>
      <c r="F7" s="8"/>
      <c r="G7" s="8"/>
      <c r="H7" s="8"/>
      <c r="I7" s="8"/>
      <c r="J7" s="8"/>
      <c r="K7" s="8"/>
      <c r="L7" s="8"/>
      <c r="M7" s="1"/>
      <c r="N7" s="1"/>
      <c r="O7" s="1"/>
      <c r="P7" s="7"/>
      <c r="Q7" s="1"/>
    </row>
    <row r="8" spans="1:17" ht="52.5" customHeight="1" thickBot="1" x14ac:dyDescent="0.3">
      <c r="A8" s="1"/>
      <c r="B8" s="5"/>
      <c r="C8" s="1"/>
      <c r="D8" s="158"/>
      <c r="E8" s="1"/>
      <c r="F8" s="1"/>
      <c r="G8" s="1"/>
      <c r="H8" s="1"/>
      <c r="I8" s="319" t="s">
        <v>126</v>
      </c>
      <c r="J8" s="320"/>
      <c r="K8" s="321"/>
      <c r="L8" s="1"/>
      <c r="M8" s="101">
        <f>+AVERAGE(G26,G28,G30,G32,G34)</f>
        <v>0.74119047619047629</v>
      </c>
      <c r="N8" s="10"/>
      <c r="O8" s="10"/>
      <c r="P8" s="7"/>
      <c r="Q8" s="1"/>
    </row>
    <row r="9" spans="1:17" ht="15.75" x14ac:dyDescent="0.25">
      <c r="A9" s="1"/>
      <c r="B9" s="5"/>
      <c r="C9" s="1"/>
      <c r="D9" s="158"/>
      <c r="E9" s="1"/>
      <c r="F9" s="1"/>
      <c r="G9" s="1"/>
      <c r="H9" s="1"/>
      <c r="I9" s="1"/>
      <c r="J9" s="1"/>
      <c r="K9" s="1"/>
      <c r="L9" s="1"/>
      <c r="M9" s="11"/>
      <c r="N9" s="11"/>
      <c r="O9" s="11"/>
      <c r="P9" s="7"/>
      <c r="Q9" s="1"/>
    </row>
    <row r="10" spans="1:17" x14ac:dyDescent="0.25">
      <c r="A10" s="1"/>
      <c r="B10" s="5"/>
      <c r="C10" s="1"/>
      <c r="D10" s="158"/>
      <c r="E10" s="1"/>
      <c r="F10" s="1"/>
      <c r="G10" s="1"/>
      <c r="H10" s="1"/>
      <c r="I10" s="1"/>
      <c r="J10" s="1"/>
      <c r="K10" s="1"/>
      <c r="L10" s="1"/>
      <c r="M10" s="1"/>
      <c r="N10" s="1"/>
      <c r="O10" s="1"/>
      <c r="P10" s="7"/>
      <c r="Q10" s="1"/>
    </row>
    <row r="11" spans="1:17" x14ac:dyDescent="0.25">
      <c r="A11" s="1"/>
      <c r="B11" s="5"/>
      <c r="C11" s="1"/>
      <c r="D11" s="158"/>
      <c r="E11" s="1"/>
      <c r="F11" s="1"/>
      <c r="G11" s="1"/>
      <c r="H11" s="1"/>
      <c r="I11" s="1"/>
      <c r="J11" s="1"/>
      <c r="K11" s="1"/>
      <c r="L11" s="1"/>
      <c r="M11" s="1"/>
      <c r="N11" s="1"/>
      <c r="O11" s="1"/>
      <c r="P11" s="7"/>
      <c r="Q11" s="1"/>
    </row>
    <row r="12" spans="1:17" x14ac:dyDescent="0.25">
      <c r="A12" s="1"/>
      <c r="B12" s="5"/>
      <c r="C12" s="1"/>
      <c r="D12" s="158"/>
      <c r="E12" s="1"/>
      <c r="F12" s="1"/>
      <c r="G12" s="1"/>
      <c r="H12" s="1"/>
      <c r="I12" s="1"/>
      <c r="J12" s="1"/>
      <c r="K12" s="1"/>
      <c r="L12" s="1"/>
      <c r="M12" s="1"/>
      <c r="N12" s="1"/>
      <c r="O12" s="1"/>
      <c r="P12" s="7"/>
      <c r="Q12" s="1"/>
    </row>
    <row r="13" spans="1:17" x14ac:dyDescent="0.25">
      <c r="A13" s="1"/>
      <c r="B13" s="5"/>
      <c r="C13" s="1"/>
      <c r="D13" s="158"/>
      <c r="E13" s="1"/>
      <c r="F13" s="1"/>
      <c r="G13" s="1"/>
      <c r="H13" s="1"/>
      <c r="I13" s="1"/>
      <c r="J13" s="1"/>
      <c r="K13" s="1"/>
      <c r="L13" s="1"/>
      <c r="M13" s="1"/>
      <c r="N13" s="1"/>
      <c r="O13" s="1"/>
      <c r="P13" s="7"/>
      <c r="Q13" s="1"/>
    </row>
    <row r="14" spans="1:17" x14ac:dyDescent="0.25">
      <c r="A14" s="1"/>
      <c r="B14" s="5"/>
      <c r="C14" s="1"/>
      <c r="D14" s="158"/>
      <c r="E14" s="1"/>
      <c r="F14" s="1"/>
      <c r="G14" s="1"/>
      <c r="H14" s="1"/>
      <c r="I14" s="1"/>
      <c r="J14" s="1"/>
      <c r="K14" s="1"/>
      <c r="L14" s="1"/>
      <c r="M14" s="1"/>
      <c r="N14" s="1"/>
      <c r="O14" s="1"/>
      <c r="P14" s="7"/>
      <c r="Q14" s="1"/>
    </row>
    <row r="15" spans="1:17" ht="20.25" customHeight="1" x14ac:dyDescent="0.25">
      <c r="A15" s="1"/>
      <c r="B15" s="5"/>
      <c r="C15" s="1"/>
      <c r="D15" s="158"/>
      <c r="E15" s="1"/>
      <c r="F15" s="1"/>
      <c r="G15" s="1"/>
      <c r="H15" s="1"/>
      <c r="I15" s="1"/>
      <c r="J15" s="1"/>
      <c r="K15" s="1"/>
      <c r="L15" s="1"/>
      <c r="M15" s="1"/>
      <c r="N15" s="1"/>
      <c r="O15" s="1"/>
      <c r="P15" s="7"/>
      <c r="Q15" s="1"/>
    </row>
    <row r="16" spans="1:17" ht="3.75" hidden="1" customHeight="1" x14ac:dyDescent="0.25">
      <c r="A16" s="1"/>
      <c r="B16" s="5"/>
      <c r="C16" s="1"/>
      <c r="D16" s="158"/>
      <c r="E16" s="1"/>
      <c r="F16" s="1"/>
      <c r="G16" s="1"/>
      <c r="H16" s="1"/>
      <c r="I16" s="1"/>
      <c r="J16" s="1"/>
      <c r="K16" s="1"/>
      <c r="L16" s="1"/>
      <c r="M16" s="1"/>
      <c r="N16" s="1"/>
      <c r="O16" s="1"/>
      <c r="P16" s="7"/>
      <c r="Q16" s="1"/>
    </row>
    <row r="17" spans="1:17" ht="37.5" customHeight="1" x14ac:dyDescent="0.25">
      <c r="A17" s="1"/>
      <c r="B17" s="5"/>
      <c r="C17" s="1"/>
      <c r="D17" s="158"/>
      <c r="E17" s="1"/>
      <c r="F17" s="1"/>
      <c r="G17" s="1"/>
      <c r="H17" s="1"/>
      <c r="I17" s="1"/>
      <c r="J17" s="1"/>
      <c r="K17" s="1"/>
      <c r="L17" s="1"/>
      <c r="M17" s="1"/>
      <c r="N17" s="1"/>
      <c r="O17" s="1"/>
      <c r="P17" s="7"/>
      <c r="Q17" s="1"/>
    </row>
    <row r="18" spans="1:17" ht="23.25" x14ac:dyDescent="0.25">
      <c r="A18" s="1"/>
      <c r="B18" s="5"/>
      <c r="C18" s="322" t="s">
        <v>127</v>
      </c>
      <c r="D18" s="323"/>
      <c r="E18" s="323"/>
      <c r="F18" s="323"/>
      <c r="G18" s="323"/>
      <c r="H18" s="323"/>
      <c r="I18" s="323"/>
      <c r="J18" s="323"/>
      <c r="K18" s="323"/>
      <c r="L18" s="323"/>
      <c r="M18" s="324"/>
      <c r="N18" s="12"/>
      <c r="O18" s="12"/>
      <c r="P18" s="7"/>
      <c r="Q18" s="1"/>
    </row>
    <row r="19" spans="1:17" ht="15.75" x14ac:dyDescent="0.25">
      <c r="A19" s="1"/>
      <c r="B19" s="5"/>
      <c r="C19" s="13"/>
      <c r="D19" s="13"/>
      <c r="E19" s="13"/>
      <c r="F19" s="13"/>
      <c r="G19" s="13"/>
      <c r="H19" s="13"/>
      <c r="I19" s="13"/>
      <c r="J19" s="13"/>
      <c r="K19" s="13"/>
      <c r="L19" s="13"/>
      <c r="M19" s="13"/>
      <c r="N19" s="14"/>
      <c r="O19" s="14"/>
      <c r="P19" s="7"/>
      <c r="Q19" s="1"/>
    </row>
    <row r="20" spans="1:17" ht="150" hidden="1" customHeight="1" x14ac:dyDescent="0.25">
      <c r="A20" s="1"/>
      <c r="B20" s="5"/>
      <c r="C20" s="325" t="s">
        <v>128</v>
      </c>
      <c r="D20" s="326"/>
      <c r="E20" s="104" t="s">
        <v>39</v>
      </c>
      <c r="F20" s="327"/>
      <c r="G20" s="327"/>
      <c r="H20" s="327"/>
      <c r="I20" s="327"/>
      <c r="J20" s="327"/>
      <c r="K20" s="327"/>
      <c r="L20" s="327"/>
      <c r="M20" s="328"/>
      <c r="N20" s="14"/>
      <c r="O20" s="14"/>
      <c r="P20" s="7"/>
      <c r="Q20" s="1"/>
    </row>
    <row r="21" spans="1:17" ht="126.75" hidden="1" customHeight="1" x14ac:dyDescent="0.25">
      <c r="A21" s="1"/>
      <c r="B21" s="5"/>
      <c r="C21" s="309" t="s">
        <v>129</v>
      </c>
      <c r="D21" s="310"/>
      <c r="E21" s="105" t="s">
        <v>39</v>
      </c>
      <c r="F21" s="329"/>
      <c r="G21" s="329"/>
      <c r="H21" s="329"/>
      <c r="I21" s="329"/>
      <c r="J21" s="329"/>
      <c r="K21" s="329"/>
      <c r="L21" s="329"/>
      <c r="M21" s="330"/>
      <c r="N21" s="14"/>
      <c r="O21" s="14"/>
      <c r="P21" s="7"/>
      <c r="Q21" s="1"/>
    </row>
    <row r="22" spans="1:17" ht="151.5" hidden="1" customHeight="1" thickBot="1" x14ac:dyDescent="0.3">
      <c r="A22" s="1"/>
      <c r="B22" s="5"/>
      <c r="C22" s="311" t="s">
        <v>130</v>
      </c>
      <c r="D22" s="312"/>
      <c r="E22" s="106" t="s">
        <v>39</v>
      </c>
      <c r="F22" s="331"/>
      <c r="G22" s="331"/>
      <c r="H22" s="331"/>
      <c r="I22" s="331"/>
      <c r="J22" s="331"/>
      <c r="K22" s="331"/>
      <c r="L22" s="331"/>
      <c r="M22" s="332"/>
      <c r="N22" s="14"/>
      <c r="O22" s="14"/>
      <c r="P22" s="7"/>
      <c r="Q22" s="1"/>
    </row>
    <row r="23" spans="1:17" x14ac:dyDescent="0.25">
      <c r="A23" s="1"/>
      <c r="B23" s="5"/>
      <c r="C23" s="1"/>
      <c r="D23" s="158"/>
      <c r="E23" s="1"/>
      <c r="F23" s="1"/>
      <c r="G23" s="15"/>
      <c r="H23" s="1"/>
      <c r="I23" s="1"/>
      <c r="J23" s="1"/>
      <c r="K23" s="1"/>
      <c r="L23" s="1"/>
      <c r="M23" s="1"/>
      <c r="N23" s="1"/>
      <c r="O23" s="1"/>
      <c r="P23" s="7"/>
      <c r="Q23" s="1"/>
    </row>
    <row r="24" spans="1:17" ht="78.75" x14ac:dyDescent="0.25">
      <c r="A24" s="1"/>
      <c r="B24" s="5"/>
      <c r="C24" s="83" t="s">
        <v>131</v>
      </c>
      <c r="D24" s="84"/>
      <c r="E24" s="83" t="s">
        <v>132</v>
      </c>
      <c r="F24" s="84"/>
      <c r="G24" s="83" t="s">
        <v>133</v>
      </c>
      <c r="H24" s="84"/>
      <c r="I24" s="303" t="s">
        <v>134</v>
      </c>
      <c r="J24" s="303"/>
      <c r="K24" s="303"/>
      <c r="L24" s="303"/>
      <c r="M24" s="303"/>
      <c r="N24" s="30"/>
      <c r="O24" s="30"/>
      <c r="P24" s="7"/>
      <c r="Q24" s="16"/>
    </row>
    <row r="25" spans="1:17" ht="13.5" customHeight="1" thickBot="1" x14ac:dyDescent="0.3">
      <c r="A25" s="1"/>
      <c r="B25" s="5"/>
      <c r="C25" s="29"/>
      <c r="I25" s="307"/>
      <c r="J25" s="307"/>
      <c r="K25" s="307"/>
      <c r="L25" s="307"/>
      <c r="M25" s="307"/>
      <c r="N25" s="31"/>
      <c r="O25" s="31"/>
      <c r="P25" s="7"/>
      <c r="Q25" s="1"/>
    </row>
    <row r="26" spans="1:17" ht="123.75" customHeight="1" thickBot="1" x14ac:dyDescent="0.3">
      <c r="A26" s="1"/>
      <c r="B26" s="5"/>
      <c r="C26" s="74" t="s">
        <v>32</v>
      </c>
      <c r="D26" s="17"/>
      <c r="E26" s="102" t="str">
        <f>+IF(Hoja1!K2&gt;=0.5,"Si","No")</f>
        <v>Si</v>
      </c>
      <c r="F26" s="18"/>
      <c r="G26" s="103">
        <f>+Hoja1!K2</f>
        <v>0.79166666666666663</v>
      </c>
      <c r="H26" s="18"/>
      <c r="I26" s="304" t="s">
        <v>236</v>
      </c>
      <c r="J26" s="305"/>
      <c r="K26" s="305"/>
      <c r="L26" s="305"/>
      <c r="M26" s="306"/>
      <c r="N26" s="32"/>
      <c r="O26" s="33"/>
      <c r="P26" s="19"/>
      <c r="Q26" s="20"/>
    </row>
    <row r="27" spans="1:17" ht="15.75" customHeight="1" thickBot="1" x14ac:dyDescent="0.45">
      <c r="A27" s="1"/>
      <c r="B27" s="5"/>
      <c r="C27" s="75"/>
      <c r="E27" s="82"/>
      <c r="G27" s="21"/>
      <c r="I27" s="308"/>
      <c r="J27" s="308"/>
      <c r="K27" s="308"/>
      <c r="L27" s="308"/>
      <c r="M27" s="308"/>
      <c r="N27" s="34"/>
      <c r="O27" s="34"/>
      <c r="P27" s="7"/>
      <c r="Q27" s="1"/>
    </row>
    <row r="28" spans="1:17" ht="89.25" customHeight="1" thickBot="1" x14ac:dyDescent="0.3">
      <c r="A28" s="1"/>
      <c r="B28" s="5"/>
      <c r="C28" s="76" t="s">
        <v>135</v>
      </c>
      <c r="D28" s="17"/>
      <c r="E28" s="102" t="str">
        <f>+IF(Hoja1!K14&gt;=0.5,"Si","No")</f>
        <v>Si</v>
      </c>
      <c r="G28" s="103">
        <f>+Hoja1!K14</f>
        <v>0.7</v>
      </c>
      <c r="I28" s="300" t="s">
        <v>237</v>
      </c>
      <c r="J28" s="301"/>
      <c r="K28" s="301"/>
      <c r="L28" s="301"/>
      <c r="M28" s="302"/>
      <c r="N28" s="32"/>
      <c r="O28" s="32"/>
      <c r="P28" s="7"/>
      <c r="Q28" s="1"/>
    </row>
    <row r="29" spans="1:17" ht="14.25" customHeight="1" thickBot="1" x14ac:dyDescent="0.45">
      <c r="A29" s="1"/>
      <c r="B29" s="5"/>
      <c r="C29" s="75"/>
      <c r="E29" s="82"/>
      <c r="G29" s="21"/>
      <c r="I29" s="308"/>
      <c r="J29" s="308"/>
      <c r="K29" s="308"/>
      <c r="L29" s="308"/>
      <c r="M29" s="308"/>
      <c r="N29" s="34"/>
      <c r="O29" s="34"/>
      <c r="P29" s="7"/>
      <c r="Q29" s="1"/>
    </row>
    <row r="30" spans="1:17" ht="98.25" customHeight="1" thickBot="1" x14ac:dyDescent="0.3">
      <c r="A30" s="1"/>
      <c r="B30" s="5"/>
      <c r="C30" s="77" t="s">
        <v>136</v>
      </c>
      <c r="D30" s="17"/>
      <c r="E30" s="102" t="str">
        <f>+IF(Hoja1!K24&gt;=0.5,"Si","No")</f>
        <v>Si</v>
      </c>
      <c r="G30" s="103">
        <f>+Hoja1!K24</f>
        <v>0.8</v>
      </c>
      <c r="I30" s="300" t="s">
        <v>238</v>
      </c>
      <c r="J30" s="301"/>
      <c r="K30" s="301"/>
      <c r="L30" s="301"/>
      <c r="M30" s="302"/>
      <c r="N30" s="32"/>
      <c r="O30" s="32"/>
      <c r="P30" s="7"/>
      <c r="Q30" s="1"/>
    </row>
    <row r="31" spans="1:17" ht="14.25" customHeight="1" thickBot="1" x14ac:dyDescent="0.45">
      <c r="A31" s="1"/>
      <c r="B31" s="5"/>
      <c r="C31" s="75"/>
      <c r="E31" s="82"/>
      <c r="G31" s="21"/>
      <c r="I31" s="308"/>
      <c r="J31" s="308"/>
      <c r="K31" s="308"/>
      <c r="L31" s="308"/>
      <c r="M31" s="308"/>
      <c r="N31" s="34"/>
      <c r="O31" s="34"/>
      <c r="P31" s="7"/>
      <c r="Q31" s="1"/>
    </row>
    <row r="32" spans="1:17" ht="128.25" customHeight="1" thickBot="1" x14ac:dyDescent="0.3">
      <c r="A32" s="1"/>
      <c r="B32" s="5"/>
      <c r="C32" s="78" t="s">
        <v>87</v>
      </c>
      <c r="D32" s="17"/>
      <c r="E32" s="102" t="str">
        <f>+IF(Hoja1!K29&gt;=0.5,"Si","No")</f>
        <v>Si</v>
      </c>
      <c r="G32" s="103">
        <f>+Hoja1!K29</f>
        <v>0.7142857142857143</v>
      </c>
      <c r="I32" s="300" t="s">
        <v>214</v>
      </c>
      <c r="J32" s="301"/>
      <c r="K32" s="301"/>
      <c r="L32" s="301"/>
      <c r="M32" s="302"/>
      <c r="N32" s="32"/>
      <c r="O32" s="32"/>
      <c r="P32" s="7"/>
      <c r="Q32" s="1"/>
    </row>
    <row r="33" spans="1:17" ht="18" customHeight="1" thickBot="1" x14ac:dyDescent="0.45">
      <c r="A33" s="1"/>
      <c r="B33" s="5"/>
      <c r="C33" s="75"/>
      <c r="E33" s="82"/>
      <c r="G33" s="21"/>
      <c r="I33" s="308"/>
      <c r="J33" s="308"/>
      <c r="K33" s="308"/>
      <c r="L33" s="308"/>
      <c r="M33" s="308"/>
      <c r="N33" s="34"/>
      <c r="O33" s="34"/>
      <c r="P33" s="7"/>
      <c r="Q33" s="1"/>
    </row>
    <row r="34" spans="1:17" ht="99.75" customHeight="1" thickBot="1" x14ac:dyDescent="0.3">
      <c r="A34" s="1"/>
      <c r="B34" s="5"/>
      <c r="C34" s="79" t="s">
        <v>137</v>
      </c>
      <c r="D34" s="17"/>
      <c r="E34" s="81" t="str">
        <f>+IF(Hoja1!K36&gt;=0.5,"Si","No")</f>
        <v>Si</v>
      </c>
      <c r="G34" s="103">
        <f>+Hoja1!K36</f>
        <v>0.7</v>
      </c>
      <c r="I34" s="300" t="s">
        <v>239</v>
      </c>
      <c r="J34" s="301"/>
      <c r="K34" s="301"/>
      <c r="L34" s="301"/>
      <c r="M34" s="302"/>
      <c r="N34" s="32"/>
      <c r="O34" s="32"/>
      <c r="P34" s="7"/>
      <c r="Q34" s="1"/>
    </row>
    <row r="35" spans="1:17" ht="15.75" x14ac:dyDescent="0.25">
      <c r="A35" s="1"/>
      <c r="B35" s="5"/>
      <c r="C35" s="22"/>
      <c r="D35" s="22"/>
      <c r="E35" s="14"/>
      <c r="F35" s="1"/>
      <c r="G35" s="1"/>
      <c r="H35" s="1"/>
      <c r="I35" s="1"/>
      <c r="J35" s="1"/>
      <c r="K35" s="1"/>
      <c r="L35" s="1"/>
      <c r="M35" s="23"/>
      <c r="N35" s="23"/>
      <c r="O35" s="23"/>
      <c r="P35" s="7"/>
      <c r="Q35" s="1"/>
    </row>
    <row r="36" spans="1:17" ht="15.75" x14ac:dyDescent="0.25">
      <c r="A36" s="1"/>
      <c r="B36" s="5"/>
      <c r="C36" s="24"/>
      <c r="D36" s="22"/>
      <c r="E36" s="14"/>
      <c r="F36" s="1"/>
      <c r="G36" s="1"/>
      <c r="H36" s="1"/>
      <c r="I36" s="1"/>
      <c r="J36" s="1"/>
      <c r="K36" s="1"/>
      <c r="L36" s="1"/>
      <c r="M36" s="23"/>
      <c r="N36" s="23"/>
      <c r="O36" s="23"/>
      <c r="P36" s="7"/>
      <c r="Q36" s="1"/>
    </row>
    <row r="37" spans="1:17" x14ac:dyDescent="0.25">
      <c r="A37" s="1"/>
      <c r="B37" s="5"/>
      <c r="C37" s="25"/>
      <c r="D37" s="158"/>
      <c r="E37" s="1"/>
      <c r="F37" s="1"/>
      <c r="G37" s="1"/>
      <c r="H37" s="1"/>
      <c r="I37" s="1"/>
      <c r="J37" s="1"/>
      <c r="K37" s="1"/>
      <c r="L37" s="1"/>
      <c r="M37" s="1"/>
      <c r="N37" s="1"/>
      <c r="O37" s="1"/>
      <c r="P37" s="7"/>
      <c r="Q37" s="1"/>
    </row>
    <row r="38" spans="1:17" ht="15.75" thickBot="1" x14ac:dyDescent="0.3">
      <c r="A38" s="1"/>
      <c r="B38" s="26"/>
      <c r="C38" s="27"/>
      <c r="D38" s="161"/>
      <c r="E38" s="27"/>
      <c r="F38" s="27"/>
      <c r="G38" s="27"/>
      <c r="H38" s="27"/>
      <c r="I38" s="27"/>
      <c r="J38" s="27"/>
      <c r="K38" s="27"/>
      <c r="L38" s="27"/>
      <c r="M38" s="27"/>
      <c r="N38" s="27"/>
      <c r="O38" s="27"/>
      <c r="P38" s="28"/>
      <c r="Q38" s="1"/>
    </row>
    <row r="39" spans="1:17" ht="15.75" thickTop="1" x14ac:dyDescent="0.25">
      <c r="A39" s="1"/>
      <c r="B39" s="1"/>
      <c r="C39" s="1"/>
      <c r="D39" s="158"/>
      <c r="E39" s="1"/>
      <c r="F39" s="1"/>
      <c r="G39" s="1"/>
      <c r="H39" s="1"/>
      <c r="I39" s="1"/>
      <c r="J39" s="1"/>
      <c r="K39" s="1"/>
      <c r="L39" s="1"/>
      <c r="M39" s="1"/>
      <c r="N39" s="1"/>
      <c r="O39" s="1"/>
      <c r="P39" s="1"/>
      <c r="Q39" s="1"/>
    </row>
    <row r="40" spans="1:17" x14ac:dyDescent="0.25">
      <c r="A40" s="1"/>
      <c r="B40" s="1"/>
      <c r="C40" s="1"/>
      <c r="D40" s="158"/>
      <c r="E40" s="1"/>
      <c r="F40" s="1"/>
      <c r="G40" s="1"/>
      <c r="H40" s="1"/>
      <c r="I40" s="1"/>
      <c r="J40" s="1"/>
      <c r="K40" s="1"/>
      <c r="L40" s="1"/>
      <c r="M40" s="1"/>
      <c r="N40" s="1"/>
      <c r="O40" s="1"/>
      <c r="P40" s="1"/>
      <c r="Q40" s="1"/>
    </row>
    <row r="41" spans="1:17" x14ac:dyDescent="0.25">
      <c r="A41" s="1"/>
      <c r="B41" s="1"/>
      <c r="C41" s="1"/>
      <c r="D41" s="158"/>
      <c r="E41" s="1"/>
      <c r="F41" s="1"/>
      <c r="G41" s="1"/>
      <c r="H41" s="1"/>
      <c r="I41" s="1"/>
      <c r="J41" s="1"/>
      <c r="K41" s="1"/>
      <c r="L41" s="1"/>
      <c r="M41" s="1"/>
      <c r="N41" s="1"/>
      <c r="O41" s="1"/>
      <c r="P41" s="1"/>
      <c r="Q41" s="1"/>
    </row>
  </sheetData>
  <sheetProtection algorithmName="SHA-512" hashValue="mur5Q3PEaZxn8LXLz/eSymodHMyMcb7gr8gXWBwpSU/m7uV0ZPVWkcKOdJlg0OS/SXBXX9P/iBb2vTO1mWy68A==" saltValue="abZlHLcGIMQMz4F8z7vkTw==" spinCount="100000" sheet="1" objects="1" scenarios="1" formatCells="0" formatRows="0"/>
  <mergeCells count="22">
    <mergeCell ref="C21:D21"/>
    <mergeCell ref="C22:D22"/>
    <mergeCell ref="E4:E5"/>
    <mergeCell ref="F4:M5"/>
    <mergeCell ref="F6:M6"/>
    <mergeCell ref="I8:K8"/>
    <mergeCell ref="C18:M18"/>
    <mergeCell ref="C20:D20"/>
    <mergeCell ref="F20:M20"/>
    <mergeCell ref="F21:M21"/>
    <mergeCell ref="F22:M22"/>
    <mergeCell ref="I34:M34"/>
    <mergeCell ref="I30:M30"/>
    <mergeCell ref="I32:M32"/>
    <mergeCell ref="I24:M24"/>
    <mergeCell ref="I26:M26"/>
    <mergeCell ref="I28:M28"/>
    <mergeCell ref="I25:M25"/>
    <mergeCell ref="I27:M27"/>
    <mergeCell ref="I29:M29"/>
    <mergeCell ref="I31:M31"/>
    <mergeCell ref="I33:M33"/>
  </mergeCells>
  <conditionalFormatting sqref="G26 G28 G30 G32 G34">
    <cfRule type="cellIs" priority="4" operator="between">
      <formula>0.75</formula>
      <formula>1</formula>
    </cfRule>
    <cfRule type="cellIs" dxfId="11" priority="5" operator="between">
      <formula>0.5</formula>
      <formula>0.75</formula>
    </cfRule>
    <cfRule type="cellIs" dxfId="10" priority="6" operator="between">
      <formula>0</formula>
      <formula>0.49</formula>
    </cfRule>
    <cfRule type="cellIs" dxfId="9" priority="31" operator="between">
      <formula>0.76</formula>
      <formula>1</formula>
    </cfRule>
    <cfRule type="cellIs" dxfId="8" priority="32" operator="between">
      <formula>0.51</formula>
      <formula>0.75</formula>
    </cfRule>
    <cfRule type="cellIs" dxfId="7" priority="33" operator="between">
      <formula>0.26</formula>
      <formula>0.5</formula>
    </cfRule>
  </conditionalFormatting>
  <conditionalFormatting sqref="M8">
    <cfRule type="cellIs" dxfId="5" priority="1" operator="between">
      <formula>0.75</formula>
      <formula>1</formula>
    </cfRule>
    <cfRule type="cellIs" dxfId="4" priority="2" operator="between">
      <formula>0.5</formula>
      <formula>0.75</formula>
    </cfRule>
    <cfRule type="cellIs" dxfId="3" priority="3" operator="between">
      <formula>0</formula>
      <formula>0.49</formula>
    </cfRule>
    <cfRule type="cellIs" priority="27" operator="between">
      <formula>0.76</formula>
      <formula>1</formula>
    </cfRule>
    <cfRule type="cellIs" dxfId="2" priority="28" operator="between">
      <formula>0.51</formula>
      <formula>0.75</formula>
    </cfRule>
    <cfRule type="cellIs" dxfId="1" priority="29" operator="between">
      <formula>0.26</formula>
      <formula>0.5</formula>
    </cfRule>
    <cfRule type="cellIs" dxfId="0" priority="30" operator="between">
      <formula>0</formula>
      <formula>0.25</formula>
    </cfRule>
  </conditionalFormatting>
  <dataValidations disablePrompts="1" count="3">
    <dataValidation type="list" allowBlank="1" showInputMessage="1" showErrorMessage="1" sqref="E21:E22" xr:uid="{00000000-0002-0000-0300-000000000000}">
      <formula1>"Si, No"</formula1>
    </dataValidation>
    <dataValidation allowBlank="1" showInputMessage="1" showErrorMessage="1" prompt="Celda formulada, información proveniente de la pestaña de deficiencias." sqref="E24" xr:uid="{00000000-0002-0000-0300-000001000000}"/>
    <dataValidation type="list" allowBlank="1" showInputMessage="1" showErrorMessage="1" sqref="E20" xr:uid="{00000000-0002-0000-0300-000002000000}">
      <formula1>"Si,En proceso,No"</formula1>
    </dataValidation>
  </dataValidations>
  <pageMargins left="0.7" right="0.7" top="0.75" bottom="0.75" header="0.3" footer="0.3"/>
  <pageSetup scale="38" orientation="landscape" r:id="rId1"/>
  <colBreaks count="1" manualBreakCount="1">
    <brk id="13" max="1048575" man="1"/>
  </colBreaks>
  <drawing r:id="rId2"/>
  <extLst>
    <ext xmlns:x14="http://schemas.microsoft.com/office/spreadsheetml/2009/9/main" uri="{78C0D931-6437-407d-A8EE-F0AAD7539E65}">
      <x14:conditionalFormattings>
        <x14:conditionalFormatting xmlns:xm="http://schemas.microsoft.com/office/excel/2006/main">
          <x14:cfRule type="cellIs" priority="34" operator="between" id="{7ADAD4B9-72C7-4518-BD8A-A7D8DD349CD9}">
            <xm:f>0</xm:f>
            <xm:f>'/Users/santiagom/Desktop/C:\Users\dell\Desktop\cesar\HISTORICOS\[2020-04-22_Formato_informe_sci_parametrizado_final.xlsx]Analisis de Resultados'!#REF!</xm:f>
            <x14:dxf>
              <fill>
                <patternFill>
                  <bgColor rgb="FFFF0000"/>
                </patternFill>
              </fill>
            </x14:dxf>
          </x14:cfRule>
          <xm:sqref>G26 G28 G30 G32 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K45"/>
  <sheetViews>
    <sheetView workbookViewId="0">
      <selection activeCell="F2" sqref="F2"/>
    </sheetView>
  </sheetViews>
  <sheetFormatPr baseColWidth="10" defaultColWidth="11.42578125" defaultRowHeight="15" x14ac:dyDescent="0.25"/>
  <cols>
    <col min="2" max="2" width="31" bestFit="1" customWidth="1"/>
    <col min="3" max="3" width="17.140625" customWidth="1"/>
    <col min="5" max="5" width="15.140625" customWidth="1"/>
    <col min="10" max="10" width="15.7109375" customWidth="1"/>
    <col min="11" max="11" width="12" bestFit="1" customWidth="1"/>
  </cols>
  <sheetData>
    <row r="1" spans="1:11" ht="84.75" customHeight="1" x14ac:dyDescent="0.25">
      <c r="A1" s="107" t="s">
        <v>25</v>
      </c>
      <c r="B1" s="107" t="s">
        <v>6</v>
      </c>
      <c r="C1" s="108" t="s">
        <v>8</v>
      </c>
      <c r="D1" s="109" t="s">
        <v>26</v>
      </c>
      <c r="E1" s="109" t="s">
        <v>27</v>
      </c>
      <c r="F1" s="109" t="s">
        <v>138</v>
      </c>
      <c r="G1" s="110" t="s">
        <v>139</v>
      </c>
      <c r="H1" s="110" t="s">
        <v>140</v>
      </c>
      <c r="I1" s="110" t="s">
        <v>119</v>
      </c>
      <c r="J1" s="110" t="s">
        <v>141</v>
      </c>
      <c r="K1" s="110" t="s">
        <v>142</v>
      </c>
    </row>
    <row r="2" spans="1:11" x14ac:dyDescent="0.25">
      <c r="A2" s="111" t="s">
        <v>143</v>
      </c>
      <c r="B2" s="111" t="str">
        <f>+VLOOKUP(A2,'Estado SCI'!$A$16:$C$59,3,0)</f>
        <v>AMBIENTE DE CONTROL</v>
      </c>
      <c r="C2" s="111" t="s">
        <v>33</v>
      </c>
      <c r="D2" s="111" t="s">
        <v>34</v>
      </c>
      <c r="E2" s="111" t="s">
        <v>35</v>
      </c>
      <c r="F2" s="111" t="str">
        <f>+VLOOKUP(A2,'Estado SCI'!$A$16:$I$59,9,0)</f>
        <v>Mantenimiento del control</v>
      </c>
      <c r="G2" s="111">
        <f>+VLOOKUP(A2,'Estado SCI'!$A$16:$L$59,12,0)</f>
        <v>20.123000000000001</v>
      </c>
      <c r="H2" s="111">
        <f t="shared" ref="H2:H45" si="0">+_xlfn.RANK.EQ(G2,$G$2:$G$45,1)</f>
        <v>5</v>
      </c>
      <c r="I2" s="111" t="str">
        <f>+IF(VLOOKUP(A2,'Estado SCI'!$A$16:$G$59,7,0)="","",VLOOKUP(A2,'Estado SCI'!$A$16:$G$59,7,0))</f>
        <v>Si</v>
      </c>
      <c r="J2" s="112">
        <f>+IF(I2="Si",1,IF(I2="En proceso",0.5,0))</f>
        <v>1</v>
      </c>
      <c r="K2" s="113">
        <f t="shared" ref="K2:K45" si="1">+AVERAGEIF($B$2:$B$45,B2,$J$2:$J$45)</f>
        <v>0.79166666666666663</v>
      </c>
    </row>
    <row r="3" spans="1:11" x14ac:dyDescent="0.25">
      <c r="A3" s="111" t="s">
        <v>144</v>
      </c>
      <c r="B3" s="111" t="s">
        <v>32</v>
      </c>
      <c r="C3" s="111" t="s">
        <v>33</v>
      </c>
      <c r="D3" s="111" t="s">
        <v>37</v>
      </c>
      <c r="E3" s="111" t="s">
        <v>38</v>
      </c>
      <c r="F3" s="111" t="str">
        <f>+VLOOKUP(A3,'Estado SCI'!$A$16:$I$59,9,0)</f>
        <v>Mantenimiento del control</v>
      </c>
      <c r="G3" s="111">
        <f>+VLOOKUP(A3,'Estado SCI'!$A$16:$L$59,12,0)</f>
        <v>20.1234</v>
      </c>
      <c r="H3" s="111">
        <f t="shared" si="0"/>
        <v>6</v>
      </c>
      <c r="I3" s="111" t="str">
        <f>+IF(VLOOKUP(A3,'Estado SCI'!$A$16:$G$59,7,0)="","",VLOOKUP(A3,'Estado SCI'!$A$16:$G$59,7,0))</f>
        <v>Si</v>
      </c>
      <c r="J3" s="112">
        <f t="shared" ref="J3:J45" si="2">+IF(I3="Si",1,IF(I3="En proceso",0.5,0))</f>
        <v>1</v>
      </c>
      <c r="K3" s="113">
        <f t="shared" si="1"/>
        <v>0.79166666666666663</v>
      </c>
    </row>
    <row r="4" spans="1:11" x14ac:dyDescent="0.25">
      <c r="A4" s="111" t="s">
        <v>145</v>
      </c>
      <c r="B4" s="111" t="s">
        <v>32</v>
      </c>
      <c r="C4" s="111" t="s">
        <v>33</v>
      </c>
      <c r="D4" s="111" t="s">
        <v>40</v>
      </c>
      <c r="E4" s="111" t="s">
        <v>41</v>
      </c>
      <c r="F4" s="111" t="str">
        <f>+VLOOKUP(A4,'Estado SCI'!$A$16:$I$59,9,0)</f>
        <v>Mantenimiento del control</v>
      </c>
      <c r="G4" s="111">
        <f>+VLOOKUP(A4,'Estado SCI'!$A$16:$L$59,12,0)</f>
        <v>20.123449999999998</v>
      </c>
      <c r="H4" s="111">
        <f t="shared" si="0"/>
        <v>7</v>
      </c>
      <c r="I4" s="111" t="str">
        <f>+IF(VLOOKUP(A4,'Estado SCI'!$A$16:$G$59,7,0)="","",VLOOKUP(A4,'Estado SCI'!$A$16:$G$59,7,0))</f>
        <v>Si</v>
      </c>
      <c r="J4" s="112">
        <f t="shared" si="2"/>
        <v>1</v>
      </c>
      <c r="K4" s="113">
        <f t="shared" si="1"/>
        <v>0.79166666666666663</v>
      </c>
    </row>
    <row r="5" spans="1:11" x14ac:dyDescent="0.25">
      <c r="A5" s="111" t="s">
        <v>146</v>
      </c>
      <c r="B5" s="111" t="s">
        <v>32</v>
      </c>
      <c r="C5" s="111" t="s">
        <v>33</v>
      </c>
      <c r="D5" s="111" t="s">
        <v>42</v>
      </c>
      <c r="E5" s="111" t="s">
        <v>43</v>
      </c>
      <c r="F5" s="111" t="str">
        <f>+VLOOKUP(A5,'Estado SCI'!$A$16:$I$59,9,0)</f>
        <v>Mantenimiento del control</v>
      </c>
      <c r="G5" s="111">
        <f>+VLOOKUP(A5,'Estado SCI'!$A$16:$L$59,12,0)</f>
        <v>20.123456000000001</v>
      </c>
      <c r="H5" s="111">
        <f t="shared" si="0"/>
        <v>8</v>
      </c>
      <c r="I5" s="111" t="str">
        <f>+IF(VLOOKUP(A5,'Estado SCI'!$A$16:$G$59,7,0)="","",VLOOKUP(A5,'Estado SCI'!$A$16:$G$59,7,0))</f>
        <v>Si</v>
      </c>
      <c r="J5" s="112">
        <f t="shared" si="2"/>
        <v>1</v>
      </c>
      <c r="K5" s="113">
        <f t="shared" si="1"/>
        <v>0.79166666666666663</v>
      </c>
    </row>
    <row r="6" spans="1:11" x14ac:dyDescent="0.25">
      <c r="A6" s="111" t="s">
        <v>147</v>
      </c>
      <c r="B6" s="111" t="s">
        <v>32</v>
      </c>
      <c r="C6" s="111" t="s">
        <v>33</v>
      </c>
      <c r="D6" s="111" t="s">
        <v>44</v>
      </c>
      <c r="E6" s="111" t="s">
        <v>45</v>
      </c>
      <c r="F6" s="111" t="str">
        <f>+VLOOKUP(A6,'Estado SCI'!$A$16:$I$59,9,0)</f>
        <v>Oportunidad de mejora</v>
      </c>
      <c r="G6" s="111">
        <f>+VLOOKUP(A6,'Estado SCI'!$A$16:$L$59,12,0)</f>
        <v>10.12345678</v>
      </c>
      <c r="H6" s="111">
        <f t="shared" si="0"/>
        <v>2</v>
      </c>
      <c r="I6" s="111" t="str">
        <f>+IF(VLOOKUP(A6,'Estado SCI'!$A$16:$G$59,7,0)="","",VLOOKUP(A6,'Estado SCI'!$A$16:$G$59,7,0))</f>
        <v>En proceso</v>
      </c>
      <c r="J6" s="112">
        <f t="shared" si="2"/>
        <v>0.5</v>
      </c>
      <c r="K6" s="113">
        <f t="shared" si="1"/>
        <v>0.79166666666666663</v>
      </c>
    </row>
    <row r="7" spans="1:11" x14ac:dyDescent="0.25">
      <c r="A7" s="111" t="s">
        <v>148</v>
      </c>
      <c r="B7" s="111" t="s">
        <v>32</v>
      </c>
      <c r="C7" s="111" t="s">
        <v>33</v>
      </c>
      <c r="D7" s="111" t="s">
        <v>46</v>
      </c>
      <c r="E7" s="111" t="s">
        <v>47</v>
      </c>
      <c r="F7" s="111" t="str">
        <f>+VLOOKUP(A7,'Estado SCI'!$A$16:$I$59,9,0)</f>
        <v>Oportunidad de mejora</v>
      </c>
      <c r="G7" s="111">
        <f>+VLOOKUP(A7,'Estado SCI'!$A$16:$L$59,12,0)</f>
        <v>10.123456789</v>
      </c>
      <c r="H7" s="111">
        <f t="shared" si="0"/>
        <v>3</v>
      </c>
      <c r="I7" s="111" t="str">
        <f>+IF(VLOOKUP(A7,'Estado SCI'!$A$16:$G$59,7,0)="","",VLOOKUP(A7,'Estado SCI'!$A$16:$G$59,7,0))</f>
        <v>En proceso</v>
      </c>
      <c r="J7" s="112">
        <f t="shared" si="2"/>
        <v>0.5</v>
      </c>
      <c r="K7" s="113">
        <f t="shared" si="1"/>
        <v>0.79166666666666663</v>
      </c>
    </row>
    <row r="8" spans="1:11" x14ac:dyDescent="0.25">
      <c r="A8" s="111" t="s">
        <v>149</v>
      </c>
      <c r="B8" s="111" t="s">
        <v>32</v>
      </c>
      <c r="C8" s="111" t="s">
        <v>33</v>
      </c>
      <c r="D8" s="111" t="s">
        <v>48</v>
      </c>
      <c r="E8" s="111" t="s">
        <v>49</v>
      </c>
      <c r="F8" s="111" t="str">
        <f>+VLOOKUP(A8,'Estado SCI'!$A$16:$I$59,9,0)</f>
        <v>Mantenimiento del control</v>
      </c>
      <c r="G8" s="111">
        <f>+VLOOKUP(A8,'Estado SCI'!$A$16:$L$59,12,0)</f>
        <v>20.1234567891</v>
      </c>
      <c r="H8" s="111">
        <f t="shared" si="0"/>
        <v>9</v>
      </c>
      <c r="I8" s="111" t="str">
        <f>+IF(VLOOKUP(A8,'Estado SCI'!$A$16:$G$59,7,0)="","",VLOOKUP(A8,'Estado SCI'!$A$16:$G$59,7,0))</f>
        <v>Si</v>
      </c>
      <c r="J8" s="112">
        <f t="shared" si="2"/>
        <v>1</v>
      </c>
      <c r="K8" s="113">
        <f t="shared" si="1"/>
        <v>0.79166666666666663</v>
      </c>
    </row>
    <row r="9" spans="1:11" x14ac:dyDescent="0.25">
      <c r="A9" s="111" t="s">
        <v>150</v>
      </c>
      <c r="B9" s="111" t="s">
        <v>32</v>
      </c>
      <c r="C9" s="111" t="s">
        <v>33</v>
      </c>
      <c r="D9" s="111" t="s">
        <v>50</v>
      </c>
      <c r="E9" s="111" t="s">
        <v>51</v>
      </c>
      <c r="F9" s="111" t="str">
        <f>+VLOOKUP(A9,'Estado SCI'!$A$16:$I$59,9,0)</f>
        <v>Mantenimiento del control</v>
      </c>
      <c r="G9" s="111">
        <f>+VLOOKUP(A9,'Estado SCI'!$A$16:$L$59,12,0)</f>
        <v>20.123456789119999</v>
      </c>
      <c r="H9" s="111">
        <f t="shared" si="0"/>
        <v>10</v>
      </c>
      <c r="I9" s="111" t="str">
        <f>+IF(VLOOKUP(A9,'Estado SCI'!$A$16:$G$59,7,0)="","",VLOOKUP(A9,'Estado SCI'!$A$16:$G$59,7,0))</f>
        <v>Si</v>
      </c>
      <c r="J9" s="112">
        <f t="shared" si="2"/>
        <v>1</v>
      </c>
      <c r="K9" s="113">
        <f t="shared" si="1"/>
        <v>0.79166666666666663</v>
      </c>
    </row>
    <row r="10" spans="1:11" x14ac:dyDescent="0.25">
      <c r="A10" s="111" t="s">
        <v>151</v>
      </c>
      <c r="B10" s="111" t="s">
        <v>32</v>
      </c>
      <c r="C10" s="111" t="s">
        <v>33</v>
      </c>
      <c r="D10" s="111" t="s">
        <v>52</v>
      </c>
      <c r="E10" s="111" t="s">
        <v>53</v>
      </c>
      <c r="F10" s="111" t="str">
        <f>+VLOOKUP(A10,'Estado SCI'!$A$16:$I$59,9,0)</f>
        <v>Deficiencia de control</v>
      </c>
      <c r="G10" s="111">
        <f>+VLOOKUP(A10,'Estado SCI'!$A$16:$L$59,12,0)</f>
        <v>0.123456789123</v>
      </c>
      <c r="H10" s="111">
        <f t="shared" si="0"/>
        <v>1</v>
      </c>
      <c r="I10" s="111" t="str">
        <f>+IF(VLOOKUP(A10,'Estado SCI'!$A$16:$G$59,7,0)="","",VLOOKUP(A10,'Estado SCI'!$A$16:$G$59,7,0))</f>
        <v>No</v>
      </c>
      <c r="J10" s="112">
        <f t="shared" si="2"/>
        <v>0</v>
      </c>
      <c r="K10" s="113">
        <f t="shared" si="1"/>
        <v>0.79166666666666663</v>
      </c>
    </row>
    <row r="11" spans="1:11" x14ac:dyDescent="0.25">
      <c r="A11" s="111" t="s">
        <v>152</v>
      </c>
      <c r="B11" s="111" t="s">
        <v>32</v>
      </c>
      <c r="C11" s="111" t="s">
        <v>33</v>
      </c>
      <c r="D11" s="111" t="s">
        <v>54</v>
      </c>
      <c r="E11" s="111" t="s">
        <v>55</v>
      </c>
      <c r="F11" s="111" t="str">
        <f>+VLOOKUP(A11,'Estado SCI'!$A$16:$I$59,9,0)</f>
        <v>Oportunidad de mejora</v>
      </c>
      <c r="G11" s="111">
        <f>+VLOOKUP(A11,'Estado SCI'!$A$16:$L$59,12,0)</f>
        <v>10.1234567891234</v>
      </c>
      <c r="H11" s="111">
        <f t="shared" si="0"/>
        <v>4</v>
      </c>
      <c r="I11" s="111" t="str">
        <f>+IF(VLOOKUP(A11,'Estado SCI'!$A$16:$G$59,7,0)="","",VLOOKUP(A11,'Estado SCI'!$A$16:$G$59,7,0))</f>
        <v>En proceso</v>
      </c>
      <c r="J11" s="112">
        <f t="shared" si="2"/>
        <v>0.5</v>
      </c>
      <c r="K11" s="113">
        <f t="shared" si="1"/>
        <v>0.79166666666666663</v>
      </c>
    </row>
    <row r="12" spans="1:11" x14ac:dyDescent="0.25">
      <c r="A12" s="111" t="s">
        <v>153</v>
      </c>
      <c r="B12" s="111" t="s">
        <v>32</v>
      </c>
      <c r="C12" s="111" t="s">
        <v>33</v>
      </c>
      <c r="D12" s="111" t="s">
        <v>56</v>
      </c>
      <c r="E12" s="111" t="s">
        <v>57</v>
      </c>
      <c r="F12" s="111" t="str">
        <f>+VLOOKUP(A12,'Estado SCI'!$A$16:$I$59,9,0)</f>
        <v>Mantenimiento del control</v>
      </c>
      <c r="G12" s="111">
        <f>+VLOOKUP(A12,'Estado SCI'!$A$16:$L$59,12,0)</f>
        <v>20.123456789123448</v>
      </c>
      <c r="H12" s="111">
        <f t="shared" si="0"/>
        <v>11</v>
      </c>
      <c r="I12" s="111" t="str">
        <f>+IF(VLOOKUP(A12,'Estado SCI'!$A$16:$G$59,7,0)="","",VLOOKUP(A12,'Estado SCI'!$A$16:$G$59,7,0))</f>
        <v>Si</v>
      </c>
      <c r="J12" s="112">
        <f t="shared" si="2"/>
        <v>1</v>
      </c>
      <c r="K12" s="113">
        <f t="shared" si="1"/>
        <v>0.79166666666666663</v>
      </c>
    </row>
    <row r="13" spans="1:11" x14ac:dyDescent="0.25">
      <c r="A13" s="111" t="s">
        <v>154</v>
      </c>
      <c r="B13" s="111" t="s">
        <v>32</v>
      </c>
      <c r="C13" s="111" t="s">
        <v>33</v>
      </c>
      <c r="D13" s="111" t="s">
        <v>58</v>
      </c>
      <c r="E13" s="111" t="s">
        <v>59</v>
      </c>
      <c r="F13" s="111" t="str">
        <f>+VLOOKUP(A13,'Estado SCI'!$A$16:$I$59,9,0)</f>
        <v>Mantenimiento del control</v>
      </c>
      <c r="G13" s="111">
        <f>+VLOOKUP(A13,'Estado SCI'!$A$16:$L$59,12,0)</f>
        <v>20.123456789123455</v>
      </c>
      <c r="H13" s="111">
        <f t="shared" si="0"/>
        <v>12</v>
      </c>
      <c r="I13" s="111" t="str">
        <f>+IF(VLOOKUP(A13,'Estado SCI'!$A$16:$G$59,7,0)="","",VLOOKUP(A13,'Estado SCI'!$A$16:$G$59,7,0))</f>
        <v>Si</v>
      </c>
      <c r="J13" s="112">
        <f t="shared" si="2"/>
        <v>1</v>
      </c>
      <c r="K13" s="113">
        <f t="shared" si="1"/>
        <v>0.79166666666666663</v>
      </c>
    </row>
    <row r="14" spans="1:11" ht="15" customHeight="1" x14ac:dyDescent="0.25">
      <c r="A14" s="111" t="s">
        <v>155</v>
      </c>
      <c r="B14" s="111" t="str">
        <f>+VLOOKUP(A14,'Estado SCI'!$A$16:$C$59,3,0)</f>
        <v>EVALUACION DEL RIESGO</v>
      </c>
      <c r="C14" s="111" t="s">
        <v>62</v>
      </c>
      <c r="D14" s="111" t="s">
        <v>34</v>
      </c>
      <c r="E14" s="111" t="s">
        <v>156</v>
      </c>
      <c r="F14" s="111" t="str">
        <f>+VLOOKUP(A14,'Estado SCI'!$A$16:$I$59,9,0)</f>
        <v>Mantenimiento del control</v>
      </c>
      <c r="G14" s="111">
        <f>+VLOOKUP(A14,'Estado SCI'!$A$16:$L$59,12,0)</f>
        <v>40.229999999999997</v>
      </c>
      <c r="H14" s="111">
        <f t="shared" si="0"/>
        <v>19</v>
      </c>
      <c r="I14" s="111" t="str">
        <f>+IF(VLOOKUP(A14,'Estado SCI'!$A$16:$G$59,7,0)="","",VLOOKUP(A14,'Estado SCI'!$A$16:$G$59,7,0))</f>
        <v>Si</v>
      </c>
      <c r="J14" s="112">
        <f t="shared" si="2"/>
        <v>1</v>
      </c>
      <c r="K14" s="113">
        <f t="shared" si="1"/>
        <v>0.7</v>
      </c>
    </row>
    <row r="15" spans="1:11" ht="15" customHeight="1" x14ac:dyDescent="0.25">
      <c r="A15" s="111" t="s">
        <v>157</v>
      </c>
      <c r="B15" s="111" t="s">
        <v>61</v>
      </c>
      <c r="C15" s="111" t="s">
        <v>62</v>
      </c>
      <c r="D15" s="111" t="s">
        <v>37</v>
      </c>
      <c r="E15" s="111" t="s">
        <v>158</v>
      </c>
      <c r="F15" s="111" t="str">
        <f>+VLOOKUP(A15,'Estado SCI'!$A$16:$I$59,9,0)</f>
        <v>Mantenimiento del control</v>
      </c>
      <c r="G15" s="111">
        <f>+VLOOKUP(A15,'Estado SCI'!$A$16:$L$59,12,0)</f>
        <v>40.234000000000002</v>
      </c>
      <c r="H15" s="111">
        <f t="shared" si="0"/>
        <v>20</v>
      </c>
      <c r="I15" s="111" t="str">
        <f>+IF(VLOOKUP(A15,'Estado SCI'!$A$16:$G$59,7,0)="","",VLOOKUP(A15,'Estado SCI'!$A$16:$G$59,7,0))</f>
        <v>Si</v>
      </c>
      <c r="J15" s="112">
        <f t="shared" si="2"/>
        <v>1</v>
      </c>
      <c r="K15" s="113">
        <f t="shared" si="1"/>
        <v>0.7</v>
      </c>
    </row>
    <row r="16" spans="1:11" ht="15" customHeight="1" x14ac:dyDescent="0.25">
      <c r="A16" s="111" t="s">
        <v>159</v>
      </c>
      <c r="B16" s="111" t="s">
        <v>61</v>
      </c>
      <c r="C16" s="111" t="s">
        <v>62</v>
      </c>
      <c r="D16" s="111" t="s">
        <v>40</v>
      </c>
      <c r="E16" s="111" t="s">
        <v>160</v>
      </c>
      <c r="F16" s="111" t="str">
        <f>+VLOOKUP(A16,'Estado SCI'!$A$16:$I$59,9,0)</f>
        <v>Mantenimiento del control</v>
      </c>
      <c r="G16" s="111">
        <f>+VLOOKUP(A16,'Estado SCI'!$A$16:$L$59,12,0)</f>
        <v>40.234499999999997</v>
      </c>
      <c r="H16" s="111">
        <f t="shared" si="0"/>
        <v>21</v>
      </c>
      <c r="I16" s="111" t="str">
        <f>+IF(VLOOKUP(A16,'Estado SCI'!$A$16:$G$59,7,0)="","",VLOOKUP(A16,'Estado SCI'!$A$16:$G$59,7,0))</f>
        <v>Si</v>
      </c>
      <c r="J16" s="112">
        <f t="shared" si="2"/>
        <v>1</v>
      </c>
      <c r="K16" s="113">
        <f t="shared" si="1"/>
        <v>0.7</v>
      </c>
    </row>
    <row r="17" spans="1:11" ht="15.75" customHeight="1" x14ac:dyDescent="0.25">
      <c r="A17" s="111" t="s">
        <v>161</v>
      </c>
      <c r="B17" s="111" t="s">
        <v>61</v>
      </c>
      <c r="C17" s="111" t="s">
        <v>62</v>
      </c>
      <c r="D17" s="111" t="s">
        <v>42</v>
      </c>
      <c r="E17" s="111" t="s">
        <v>66</v>
      </c>
      <c r="F17" s="111" t="str">
        <f>+VLOOKUP(A17,'Estado SCI'!$A$16:$I$59,9,0)</f>
        <v>Mantenimiento del control</v>
      </c>
      <c r="G17" s="111">
        <f>+VLOOKUP(A17,'Estado SCI'!$A$16:$L$59,12,0)</f>
        <v>40.234560000000002</v>
      </c>
      <c r="H17" s="111">
        <f t="shared" si="0"/>
        <v>22</v>
      </c>
      <c r="I17" s="111" t="str">
        <f>+IF(VLOOKUP(A17,'Estado SCI'!$A$16:$G$59,7,0)="","",VLOOKUP(A17,'Estado SCI'!$A$16:$G$59,7,0))</f>
        <v>Si</v>
      </c>
      <c r="J17" s="112">
        <f t="shared" si="2"/>
        <v>1</v>
      </c>
      <c r="K17" s="113">
        <f t="shared" si="1"/>
        <v>0.7</v>
      </c>
    </row>
    <row r="18" spans="1:11" ht="15" customHeight="1" x14ac:dyDescent="0.25">
      <c r="A18" s="111" t="s">
        <v>162</v>
      </c>
      <c r="B18" s="111" t="s">
        <v>61</v>
      </c>
      <c r="C18" s="111" t="s">
        <v>80</v>
      </c>
      <c r="D18" s="111" t="s">
        <v>34</v>
      </c>
      <c r="E18" s="111" t="s">
        <v>69</v>
      </c>
      <c r="F18" s="111" t="str">
        <f>+VLOOKUP(A18,'Estado SCI'!$A$16:$I$59,9,0)</f>
        <v>Oportunidad de mejora</v>
      </c>
      <c r="G18" s="111">
        <f>+VLOOKUP(A18,'Estado SCI'!$A$16:$L$59,12,0)</f>
        <v>30.234566999999998</v>
      </c>
      <c r="H18" s="111">
        <f t="shared" si="0"/>
        <v>13</v>
      </c>
      <c r="I18" s="111" t="str">
        <f>+IF(VLOOKUP(A18,'Estado SCI'!$A$16:$G$59,7,0)="","",VLOOKUP(A18,'Estado SCI'!$A$16:$G$59,7,0))</f>
        <v>En proceso</v>
      </c>
      <c r="J18" s="112">
        <f t="shared" si="2"/>
        <v>0.5</v>
      </c>
      <c r="K18" s="113">
        <f t="shared" si="1"/>
        <v>0.7</v>
      </c>
    </row>
    <row r="19" spans="1:11" ht="15" customHeight="1" x14ac:dyDescent="0.25">
      <c r="A19" s="111" t="s">
        <v>163</v>
      </c>
      <c r="B19" s="111" t="s">
        <v>61</v>
      </c>
      <c r="C19" s="111" t="s">
        <v>80</v>
      </c>
      <c r="D19" s="111" t="s">
        <v>37</v>
      </c>
      <c r="E19" s="111" t="s">
        <v>70</v>
      </c>
      <c r="F19" s="111" t="str">
        <f>+VLOOKUP(A19,'Estado SCI'!$A$16:$I$59,9,0)</f>
        <v>Oportunidad de mejora</v>
      </c>
      <c r="G19" s="111">
        <f>+VLOOKUP(A19,'Estado SCI'!$A$16:$L$59,12,0)</f>
        <v>30.234567800000001</v>
      </c>
      <c r="H19" s="111">
        <f t="shared" si="0"/>
        <v>14</v>
      </c>
      <c r="I19" s="111" t="str">
        <f>+IF(VLOOKUP(A19,'Estado SCI'!$A$16:$G$59,7,0)="","",VLOOKUP(A19,'Estado SCI'!$A$16:$G$59,7,0))</f>
        <v>En proceso</v>
      </c>
      <c r="J19" s="112">
        <f t="shared" si="2"/>
        <v>0.5</v>
      </c>
      <c r="K19" s="113">
        <f t="shared" si="1"/>
        <v>0.7</v>
      </c>
    </row>
    <row r="20" spans="1:11" ht="15" customHeight="1" x14ac:dyDescent="0.25">
      <c r="A20" s="111" t="s">
        <v>164</v>
      </c>
      <c r="B20" s="111" t="s">
        <v>61</v>
      </c>
      <c r="C20" s="111" t="s">
        <v>80</v>
      </c>
      <c r="D20" s="111" t="s">
        <v>40</v>
      </c>
      <c r="E20" s="111" t="s">
        <v>71</v>
      </c>
      <c r="F20" s="111" t="str">
        <f>+VLOOKUP(A20,'Estado SCI'!$A$16:$I$59,9,0)</f>
        <v>Oportunidad de mejora</v>
      </c>
      <c r="G20" s="111">
        <f>+VLOOKUP(A20,'Estado SCI'!$A$16:$L$59,12,0)</f>
        <v>30.234567890000001</v>
      </c>
      <c r="H20" s="111">
        <f t="shared" si="0"/>
        <v>15</v>
      </c>
      <c r="I20" s="111" t="str">
        <f>+IF(VLOOKUP(A20,'Estado SCI'!$A$16:$G$59,7,0)="","",VLOOKUP(A20,'Estado SCI'!$A$16:$G$59,7,0))</f>
        <v>En proceso</v>
      </c>
      <c r="J20" s="112">
        <f t="shared" si="2"/>
        <v>0.5</v>
      </c>
      <c r="K20" s="113">
        <f t="shared" si="1"/>
        <v>0.7</v>
      </c>
    </row>
    <row r="21" spans="1:11" ht="15.75" customHeight="1" x14ac:dyDescent="0.25">
      <c r="A21" s="111" t="s">
        <v>165</v>
      </c>
      <c r="B21" s="111" t="s">
        <v>61</v>
      </c>
      <c r="C21" s="111" t="s">
        <v>80</v>
      </c>
      <c r="D21" s="111" t="s">
        <v>34</v>
      </c>
      <c r="E21" s="111" t="s">
        <v>74</v>
      </c>
      <c r="F21" s="111" t="str">
        <f>+VLOOKUP(A21,'Estado SCI'!$A$16:$I$59,9,0)</f>
        <v>Oportunidad de mejora</v>
      </c>
      <c r="G21" s="111">
        <f>+VLOOKUP(A21,'Estado SCI'!$A$16:$L$59,12,0)</f>
        <v>30.234567891200001</v>
      </c>
      <c r="H21" s="111">
        <f t="shared" si="0"/>
        <v>16</v>
      </c>
      <c r="I21" s="111" t="str">
        <f>+IF(VLOOKUP(A21,'Estado SCI'!$A$16:$G$59,7,0)="","",VLOOKUP(A21,'Estado SCI'!$A$16:$G$59,7,0))</f>
        <v>En proceso</v>
      </c>
      <c r="J21" s="112">
        <f t="shared" si="2"/>
        <v>0.5</v>
      </c>
      <c r="K21" s="113">
        <f t="shared" si="1"/>
        <v>0.7</v>
      </c>
    </row>
    <row r="22" spans="1:11" ht="15" customHeight="1" x14ac:dyDescent="0.25">
      <c r="A22" s="111" t="s">
        <v>166</v>
      </c>
      <c r="B22" s="111" t="s">
        <v>61</v>
      </c>
      <c r="C22" s="111" t="s">
        <v>88</v>
      </c>
      <c r="D22" s="111" t="s">
        <v>37</v>
      </c>
      <c r="E22" s="111" t="s">
        <v>75</v>
      </c>
      <c r="F22" s="111" t="str">
        <f>+VLOOKUP(A22,'Estado SCI'!$A$16:$I$59,9,0)</f>
        <v>Oportunidad de mejora</v>
      </c>
      <c r="G22" s="111">
        <f>+VLOOKUP(A22,'Estado SCI'!$A$16:$L$59,12,0)</f>
        <v>30.23456789123</v>
      </c>
      <c r="H22" s="111">
        <f t="shared" si="0"/>
        <v>17</v>
      </c>
      <c r="I22" s="111" t="str">
        <f>+IF(VLOOKUP(A22,'Estado SCI'!$A$16:$G$59,7,0)="","",VLOOKUP(A22,'Estado SCI'!$A$16:$G$59,7,0))</f>
        <v>En proceso</v>
      </c>
      <c r="J22" s="112">
        <f t="shared" si="2"/>
        <v>0.5</v>
      </c>
      <c r="K22" s="113">
        <f t="shared" si="1"/>
        <v>0.7</v>
      </c>
    </row>
    <row r="23" spans="1:11" ht="15" customHeight="1" x14ac:dyDescent="0.25">
      <c r="A23" s="111" t="s">
        <v>167</v>
      </c>
      <c r="B23" s="111" t="s">
        <v>61</v>
      </c>
      <c r="C23" s="111" t="s">
        <v>88</v>
      </c>
      <c r="D23" s="111" t="s">
        <v>40</v>
      </c>
      <c r="E23" s="111" t="s">
        <v>77</v>
      </c>
      <c r="F23" s="111" t="str">
        <f>+VLOOKUP(A23,'Estado SCI'!$A$16:$I$59,9,0)</f>
        <v>Oportunidad de mejora</v>
      </c>
      <c r="G23" s="111">
        <f>+VLOOKUP(A23,'Estado SCI'!$A$16:$L$59,12,0)</f>
        <v>30.234567891234001</v>
      </c>
      <c r="H23" s="111">
        <f t="shared" si="0"/>
        <v>18</v>
      </c>
      <c r="I23" s="111" t="str">
        <f>+IF(VLOOKUP(A23,'Estado SCI'!$A$16:$G$59,7,0)="","",VLOOKUP(A23,'Estado SCI'!$A$16:$G$59,7,0))</f>
        <v>En proceso</v>
      </c>
      <c r="J23" s="112">
        <f t="shared" si="2"/>
        <v>0.5</v>
      </c>
      <c r="K23" s="113">
        <f t="shared" si="1"/>
        <v>0.7</v>
      </c>
    </row>
    <row r="24" spans="1:11" ht="15" customHeight="1" x14ac:dyDescent="0.25">
      <c r="A24" s="111" t="s">
        <v>168</v>
      </c>
      <c r="B24" s="111" t="str">
        <f>+VLOOKUP(A24,'Estado SCI'!$A$16:$C$59,3,0)</f>
        <v>ACTIVIDADES DE CONTROL</v>
      </c>
      <c r="C24" s="111" t="s">
        <v>88</v>
      </c>
      <c r="D24" s="111" t="s">
        <v>34</v>
      </c>
      <c r="E24" s="111" t="s">
        <v>81</v>
      </c>
      <c r="F24" s="111" t="str">
        <f>+VLOOKUP(A24,'Estado SCI'!$A$16:$I$59,9,0)</f>
        <v>Mantenimiento del control</v>
      </c>
      <c r="G24" s="111">
        <f>+VLOOKUP(A24,'Estado SCI'!$A$16:$L$59,12,0)</f>
        <v>60.31</v>
      </c>
      <c r="H24" s="111">
        <f t="shared" si="0"/>
        <v>25</v>
      </c>
      <c r="I24" s="111" t="str">
        <f>+IF(VLOOKUP(A24,'Estado SCI'!$A$16:$G$59,7,0)="","",VLOOKUP(A24,'Estado SCI'!$A$16:$G$59,7,0))</f>
        <v>Si</v>
      </c>
      <c r="J24" s="112">
        <f t="shared" si="2"/>
        <v>1</v>
      </c>
      <c r="K24" s="113">
        <f t="shared" si="1"/>
        <v>0.8</v>
      </c>
    </row>
    <row r="25" spans="1:11" ht="15" customHeight="1" x14ac:dyDescent="0.25">
      <c r="A25" s="111" t="s">
        <v>169</v>
      </c>
      <c r="B25" s="111" t="s">
        <v>79</v>
      </c>
      <c r="C25" s="111" t="s">
        <v>88</v>
      </c>
      <c r="D25" s="111" t="s">
        <v>37</v>
      </c>
      <c r="E25" s="111" t="s">
        <v>82</v>
      </c>
      <c r="F25" s="111" t="str">
        <f>+VLOOKUP(A25,'Estado SCI'!$A$16:$I$59,9,0)</f>
        <v>Oportunidad de mejora</v>
      </c>
      <c r="G25" s="111">
        <f>+VLOOKUP(A25,'Estado SCI'!$A$16:$L$59,12,0)</f>
        <v>50.323</v>
      </c>
      <c r="H25" s="111">
        <f t="shared" si="0"/>
        <v>23</v>
      </c>
      <c r="I25" s="111" t="str">
        <f>+IF(VLOOKUP(A25,'Estado SCI'!$A$16:$G$59,7,0)="","",VLOOKUP(A25,'Estado SCI'!$A$16:$G$59,7,0))</f>
        <v>En proceso</v>
      </c>
      <c r="J25" s="112">
        <f t="shared" si="2"/>
        <v>0.5</v>
      </c>
      <c r="K25" s="113">
        <f t="shared" si="1"/>
        <v>0.8</v>
      </c>
    </row>
    <row r="26" spans="1:11" ht="15" customHeight="1" x14ac:dyDescent="0.25">
      <c r="A26" s="111" t="s">
        <v>170</v>
      </c>
      <c r="B26" s="111" t="s">
        <v>79</v>
      </c>
      <c r="C26" s="111" t="s">
        <v>88</v>
      </c>
      <c r="D26" s="111" t="s">
        <v>40</v>
      </c>
      <c r="E26" s="111" t="s">
        <v>83</v>
      </c>
      <c r="F26" s="111" t="str">
        <f>+VLOOKUP(A26,'Estado SCI'!$A$16:$I$59,9,0)</f>
        <v>Oportunidad de mejora</v>
      </c>
      <c r="G26" s="111">
        <f>+VLOOKUP(A26,'Estado SCI'!$A$16:$L$59,12,0)</f>
        <v>50.323999999999998</v>
      </c>
      <c r="H26" s="111">
        <f t="shared" si="0"/>
        <v>24</v>
      </c>
      <c r="I26" s="111" t="str">
        <f>+IF(VLOOKUP(A26,'Estado SCI'!$A$16:$G$59,7,0)="","",VLOOKUP(A26,'Estado SCI'!$A$16:$G$59,7,0))</f>
        <v>En proceso</v>
      </c>
      <c r="J26" s="112">
        <f t="shared" si="2"/>
        <v>0.5</v>
      </c>
      <c r="K26" s="113">
        <f t="shared" si="1"/>
        <v>0.8</v>
      </c>
    </row>
    <row r="27" spans="1:11" ht="15.75" customHeight="1" x14ac:dyDescent="0.25">
      <c r="A27" s="111" t="s">
        <v>171</v>
      </c>
      <c r="B27" s="111" t="s">
        <v>79</v>
      </c>
      <c r="C27" s="111" t="s">
        <v>88</v>
      </c>
      <c r="D27" s="111" t="s">
        <v>42</v>
      </c>
      <c r="E27" s="111" t="s">
        <v>84</v>
      </c>
      <c r="F27" s="111" t="str">
        <f>+VLOOKUP(A27,'Estado SCI'!$A$16:$I$59,9,0)</f>
        <v>Mantenimiento del control</v>
      </c>
      <c r="G27" s="111">
        <f>+VLOOKUP(A27,'Estado SCI'!$A$16:$L$59,12,0)</f>
        <v>60.325000000000003</v>
      </c>
      <c r="H27" s="111">
        <f t="shared" si="0"/>
        <v>26</v>
      </c>
      <c r="I27" s="111" t="str">
        <f>+IF(VLOOKUP(A27,'Estado SCI'!$A$16:$G$59,7,0)="","",VLOOKUP(A27,'Estado SCI'!$A$16:$G$59,7,0))</f>
        <v>Si</v>
      </c>
      <c r="J27" s="112">
        <f t="shared" si="2"/>
        <v>1</v>
      </c>
      <c r="K27" s="113">
        <f t="shared" si="1"/>
        <v>0.8</v>
      </c>
    </row>
    <row r="28" spans="1:11" ht="15" customHeight="1" x14ac:dyDescent="0.25">
      <c r="A28" s="111" t="s">
        <v>172</v>
      </c>
      <c r="B28" s="111" t="s">
        <v>79</v>
      </c>
      <c r="C28" s="111" t="s">
        <v>98</v>
      </c>
      <c r="D28" s="111" t="s">
        <v>44</v>
      </c>
      <c r="E28" s="111" t="s">
        <v>85</v>
      </c>
      <c r="F28" s="111" t="str">
        <f>+VLOOKUP(A28,'Estado SCI'!$A$16:$I$59,9,0)</f>
        <v>Mantenimiento del control</v>
      </c>
      <c r="G28" s="111">
        <f>+VLOOKUP(A28,'Estado SCI'!$A$16:$L$59,12,0)</f>
        <v>60.326000000000001</v>
      </c>
      <c r="H28" s="111">
        <f t="shared" si="0"/>
        <v>27</v>
      </c>
      <c r="I28" s="111" t="str">
        <f>+IF(VLOOKUP(A28,'Estado SCI'!$A$16:$G$59,7,0)="","",VLOOKUP(A28,'Estado SCI'!$A$16:$G$59,7,0))</f>
        <v>Si</v>
      </c>
      <c r="J28" s="112">
        <f t="shared" si="2"/>
        <v>1</v>
      </c>
      <c r="K28" s="113">
        <f t="shared" si="1"/>
        <v>0.8</v>
      </c>
    </row>
    <row r="29" spans="1:11" ht="15" customHeight="1" x14ac:dyDescent="0.25">
      <c r="A29" s="111" t="s">
        <v>173</v>
      </c>
      <c r="B29" s="111" t="str">
        <f>+VLOOKUP(A29,'Estado SCI'!$A$16:$C$59,3,0)</f>
        <v>INFORMACION Y COMUNICACIÓN</v>
      </c>
      <c r="C29" s="111" t="s">
        <v>98</v>
      </c>
      <c r="D29" s="111" t="s">
        <v>34</v>
      </c>
      <c r="E29" s="111" t="s">
        <v>89</v>
      </c>
      <c r="F29" s="111" t="str">
        <f>+VLOOKUP(A29,'Estado SCI'!$A$16:$I$59,9,0)</f>
        <v>Mantenimiento del control</v>
      </c>
      <c r="G29" s="111">
        <f>+VLOOKUP(A29,'Estado SCI'!$A$16:$L$59,12,0)</f>
        <v>80.412000000000006</v>
      </c>
      <c r="H29" s="111">
        <f t="shared" si="0"/>
        <v>30</v>
      </c>
      <c r="I29" s="111" t="str">
        <f>+IF(VLOOKUP(A29,'Estado SCI'!$A$16:$G$59,7,0)="","",VLOOKUP(A29,'Estado SCI'!$A$16:$G$59,7,0))</f>
        <v>Si</v>
      </c>
      <c r="J29" s="112">
        <f t="shared" si="2"/>
        <v>1</v>
      </c>
      <c r="K29" s="113">
        <f t="shared" si="1"/>
        <v>0.7142857142857143</v>
      </c>
    </row>
    <row r="30" spans="1:11" ht="15" customHeight="1" x14ac:dyDescent="0.25">
      <c r="A30" s="111" t="s">
        <v>174</v>
      </c>
      <c r="B30" s="111" t="s">
        <v>87</v>
      </c>
      <c r="C30" s="111" t="s">
        <v>98</v>
      </c>
      <c r="D30" s="111" t="s">
        <v>37</v>
      </c>
      <c r="E30" s="111" t="s">
        <v>90</v>
      </c>
      <c r="F30" s="111" t="str">
        <f>+VLOOKUP(A30,'Estado SCI'!$A$16:$I$59,9,0)</f>
        <v>Mantenimiento del control</v>
      </c>
      <c r="G30" s="111">
        <f>+VLOOKUP(A30,'Estado SCI'!$A$16:$L$59,12,0)</f>
        <v>80.412300000000002</v>
      </c>
      <c r="H30" s="111">
        <f t="shared" si="0"/>
        <v>31</v>
      </c>
      <c r="I30" s="111" t="str">
        <f>+IF(VLOOKUP(A30,'Estado SCI'!$A$16:$G$59,7,0)="","",VLOOKUP(A30,'Estado SCI'!$A$16:$G$59,7,0))</f>
        <v>Si</v>
      </c>
      <c r="J30" s="112">
        <f t="shared" si="2"/>
        <v>1</v>
      </c>
      <c r="K30" s="113">
        <f t="shared" si="1"/>
        <v>0.7142857142857143</v>
      </c>
    </row>
    <row r="31" spans="1:11" ht="15.75" customHeight="1" x14ac:dyDescent="0.25">
      <c r="A31" s="111" t="s">
        <v>175</v>
      </c>
      <c r="B31" s="111" t="s">
        <v>87</v>
      </c>
      <c r="C31" s="111" t="s">
        <v>98</v>
      </c>
      <c r="D31" s="111" t="s">
        <v>40</v>
      </c>
      <c r="E31" s="111" t="s">
        <v>91</v>
      </c>
      <c r="F31" s="111" t="str">
        <f>+VLOOKUP(A31,'Estado SCI'!$A$16:$I$59,9,0)</f>
        <v>Mantenimiento del control</v>
      </c>
      <c r="G31" s="111">
        <f>+VLOOKUP(A31,'Estado SCI'!$A$16:$L$59,12,0)</f>
        <v>80.41234</v>
      </c>
      <c r="H31" s="111">
        <f t="shared" si="0"/>
        <v>32</v>
      </c>
      <c r="I31" s="111" t="str">
        <f>+IF(VLOOKUP(A31,'Estado SCI'!$A$16:$G$59,7,0)="","",VLOOKUP(A31,'Estado SCI'!$A$16:$G$59,7,0))</f>
        <v>Si</v>
      </c>
      <c r="J31" s="112">
        <f t="shared" si="2"/>
        <v>1</v>
      </c>
      <c r="K31" s="113">
        <f t="shared" si="1"/>
        <v>0.7142857142857143</v>
      </c>
    </row>
    <row r="32" spans="1:11" x14ac:dyDescent="0.25">
      <c r="A32" s="111" t="s">
        <v>176</v>
      </c>
      <c r="B32" s="111" t="s">
        <v>87</v>
      </c>
      <c r="C32" s="111" t="s">
        <v>104</v>
      </c>
      <c r="D32" s="111" t="s">
        <v>42</v>
      </c>
      <c r="E32" s="111" t="s">
        <v>92</v>
      </c>
      <c r="F32" s="111" t="str">
        <f>+VLOOKUP(A32,'Estado SCI'!$A$16:$I$59,9,0)</f>
        <v>Deficiencia de control</v>
      </c>
      <c r="G32" s="111">
        <f>+VLOOKUP(A32,'Estado SCI'!$A$16:$L$59,12,0)</f>
        <v>60.412345000000002</v>
      </c>
      <c r="H32" s="111">
        <f t="shared" si="0"/>
        <v>28</v>
      </c>
      <c r="I32" s="111" t="str">
        <f>+IF(VLOOKUP(A32,'Estado SCI'!$A$16:$G$59,7,0)="","",VLOOKUP(A32,'Estado SCI'!$A$16:$G$59,7,0))</f>
        <v>No</v>
      </c>
      <c r="J32" s="112">
        <f t="shared" si="2"/>
        <v>0</v>
      </c>
      <c r="K32" s="113">
        <f t="shared" si="1"/>
        <v>0.7142857142857143</v>
      </c>
    </row>
    <row r="33" spans="1:11" x14ac:dyDescent="0.25">
      <c r="A33" s="111" t="s">
        <v>177</v>
      </c>
      <c r="B33" s="111" t="s">
        <v>87</v>
      </c>
      <c r="C33" s="111" t="s">
        <v>178</v>
      </c>
      <c r="D33" s="111" t="s">
        <v>44</v>
      </c>
      <c r="E33" s="111" t="s">
        <v>93</v>
      </c>
      <c r="F33" s="111" t="str">
        <f>+VLOOKUP(A33,'Estado SCI'!$A$16:$I$59,9,0)</f>
        <v>Deficiencia de control</v>
      </c>
      <c r="G33" s="111">
        <f>+VLOOKUP(A33,'Estado SCI'!$A$16:$L$59,12,0)</f>
        <v>60.412345600000002</v>
      </c>
      <c r="H33" s="111">
        <f t="shared" si="0"/>
        <v>29</v>
      </c>
      <c r="I33" s="111" t="str">
        <f>+IF(VLOOKUP(A33,'Estado SCI'!$A$16:$G$59,7,0)="","",VLOOKUP(A33,'Estado SCI'!$A$16:$G$59,7,0))</f>
        <v>No</v>
      </c>
      <c r="J33" s="112">
        <f t="shared" si="2"/>
        <v>0</v>
      </c>
      <c r="K33" s="113">
        <f t="shared" si="1"/>
        <v>0.7142857142857143</v>
      </c>
    </row>
    <row r="34" spans="1:11" x14ac:dyDescent="0.25">
      <c r="A34" s="111" t="s">
        <v>179</v>
      </c>
      <c r="B34" s="111" t="s">
        <v>87</v>
      </c>
      <c r="C34" s="111" t="s">
        <v>178</v>
      </c>
      <c r="D34" s="111" t="s">
        <v>46</v>
      </c>
      <c r="E34" s="111" t="s">
        <v>94</v>
      </c>
      <c r="F34" s="111" t="str">
        <f>+VLOOKUP(A34,'Estado SCI'!$A$16:$I$59,9,0)</f>
        <v>Mantenimiento del control</v>
      </c>
      <c r="G34" s="111">
        <f>+VLOOKUP(A34,'Estado SCI'!$A$16:$L$59,12,0)</f>
        <v>80.412345669999993</v>
      </c>
      <c r="H34" s="111">
        <f t="shared" si="0"/>
        <v>33</v>
      </c>
      <c r="I34" s="111" t="str">
        <f>+IF(VLOOKUP(A34,'Estado SCI'!$A$16:$G$59,7,0)="","",VLOOKUP(A34,'Estado SCI'!$A$16:$G$59,7,0))</f>
        <v>Si</v>
      </c>
      <c r="J34" s="112">
        <f t="shared" si="2"/>
        <v>1</v>
      </c>
      <c r="K34" s="113">
        <f t="shared" si="1"/>
        <v>0.7142857142857143</v>
      </c>
    </row>
    <row r="35" spans="1:11" x14ac:dyDescent="0.25">
      <c r="A35" s="111" t="s">
        <v>180</v>
      </c>
      <c r="B35" s="111" t="s">
        <v>87</v>
      </c>
      <c r="C35" s="111" t="s">
        <v>178</v>
      </c>
      <c r="D35" s="111" t="s">
        <v>48</v>
      </c>
      <c r="E35" s="111" t="s">
        <v>95</v>
      </c>
      <c r="F35" s="111" t="str">
        <f>+VLOOKUP(A35,'Estado SCI'!$A$16:$I$59,9,0)</f>
        <v>Mantenimiento del control</v>
      </c>
      <c r="G35" s="111">
        <f>+VLOOKUP(A35,'Estado SCI'!$A$16:$L$59,12,0)</f>
        <v>80.412345677999994</v>
      </c>
      <c r="H35" s="111">
        <f t="shared" si="0"/>
        <v>34</v>
      </c>
      <c r="I35" s="111" t="str">
        <f>+IF(VLOOKUP(A35,'Estado SCI'!$A$16:$G$59,7,0)="","",VLOOKUP(A35,'Estado SCI'!$A$16:$G$59,7,0))</f>
        <v>Si</v>
      </c>
      <c r="J35" s="112">
        <f t="shared" si="2"/>
        <v>1</v>
      </c>
      <c r="K35" s="113">
        <f t="shared" si="1"/>
        <v>0.7142857142857143</v>
      </c>
    </row>
    <row r="36" spans="1:11" x14ac:dyDescent="0.25">
      <c r="A36" s="111" t="s">
        <v>181</v>
      </c>
      <c r="B36" s="111" t="str">
        <f>+VLOOKUP(A36,'Estado SCI'!$A$16:$C$59,3,0)</f>
        <v>ACTIVIDADES DE MONITOREO</v>
      </c>
      <c r="C36" s="111" t="s">
        <v>178</v>
      </c>
      <c r="D36" s="111" t="s">
        <v>34</v>
      </c>
      <c r="E36" s="111" t="s">
        <v>99</v>
      </c>
      <c r="F36" s="111" t="str">
        <f>+VLOOKUP(A36,'Estado SCI'!$A$16:$I$59,9,0)</f>
        <v>Mantenimiento del control</v>
      </c>
      <c r="G36" s="111">
        <f>+VLOOKUP(A36,'Estado SCI'!$A$16:$L$59,12,0)</f>
        <v>120.851</v>
      </c>
      <c r="H36" s="111">
        <f t="shared" si="0"/>
        <v>41</v>
      </c>
      <c r="I36" s="111" t="str">
        <f>+IF(VLOOKUP(A36,'Estado SCI'!$A$16:$G$59,7,0)="","",VLOOKUP(A36,'Estado SCI'!$A$16:$G$59,7,0))</f>
        <v>Si</v>
      </c>
      <c r="J36" s="112">
        <f t="shared" si="2"/>
        <v>1</v>
      </c>
      <c r="K36" s="113">
        <f t="shared" si="1"/>
        <v>0.7</v>
      </c>
    </row>
    <row r="37" spans="1:11" x14ac:dyDescent="0.25">
      <c r="A37" s="111" t="s">
        <v>182</v>
      </c>
      <c r="B37" s="111" t="s">
        <v>97</v>
      </c>
      <c r="C37" s="111" t="s">
        <v>178</v>
      </c>
      <c r="D37" s="111" t="s">
        <v>42</v>
      </c>
      <c r="E37" s="111" t="s">
        <v>100</v>
      </c>
      <c r="F37" s="111" t="str">
        <f>+VLOOKUP(A37,'Estado SCI'!$A$16:$I$59,9,0)</f>
        <v>Mantenimiento del control</v>
      </c>
      <c r="G37" s="111">
        <f>+VLOOKUP(A37,'Estado SCI'!$A$16:$L$59,12,0)</f>
        <v>120.85120000000001</v>
      </c>
      <c r="H37" s="111">
        <f t="shared" si="0"/>
        <v>42</v>
      </c>
      <c r="I37" s="111" t="str">
        <f>+IF(VLOOKUP(A37,'Estado SCI'!$A$16:$G$59,7,0)="","",VLOOKUP(A37,'Estado SCI'!$A$16:$G$59,7,0))</f>
        <v>Si</v>
      </c>
      <c r="J37" s="112">
        <f t="shared" si="2"/>
        <v>1</v>
      </c>
      <c r="K37" s="113">
        <f t="shared" si="1"/>
        <v>0.7</v>
      </c>
    </row>
    <row r="38" spans="1:11" x14ac:dyDescent="0.25">
      <c r="A38" s="111" t="s">
        <v>183</v>
      </c>
      <c r="B38" s="111" t="s">
        <v>97</v>
      </c>
      <c r="C38" s="111" t="s">
        <v>68</v>
      </c>
      <c r="D38" s="111" t="s">
        <v>46</v>
      </c>
      <c r="E38" s="111" t="s">
        <v>101</v>
      </c>
      <c r="F38" s="111" t="str">
        <f>+VLOOKUP(A38,'Estado SCI'!$A$16:$I$59,9,0)</f>
        <v>Mantenimiento del control</v>
      </c>
      <c r="G38" s="111">
        <f>+VLOOKUP(A38,'Estado SCI'!$A$16:$L$59,12,0)</f>
        <v>120.85123</v>
      </c>
      <c r="H38" s="111">
        <f t="shared" si="0"/>
        <v>43</v>
      </c>
      <c r="I38" s="111" t="str">
        <f>+IF(VLOOKUP(A38,'Estado SCI'!$A$16:$G$59,7,0)="","",VLOOKUP(A38,'Estado SCI'!$A$16:$G$59,7,0))</f>
        <v>Si</v>
      </c>
      <c r="J38" s="112">
        <f t="shared" si="2"/>
        <v>1</v>
      </c>
      <c r="K38" s="113">
        <f t="shared" si="1"/>
        <v>0.7</v>
      </c>
    </row>
    <row r="39" spans="1:11" x14ac:dyDescent="0.25">
      <c r="A39" s="111" t="s">
        <v>184</v>
      </c>
      <c r="B39" s="111" t="s">
        <v>97</v>
      </c>
      <c r="C39" s="111" t="s">
        <v>68</v>
      </c>
      <c r="D39" s="111" t="s">
        <v>48</v>
      </c>
      <c r="E39" s="111" t="s">
        <v>102</v>
      </c>
      <c r="F39" s="111" t="str">
        <f>+VLOOKUP(A39,'Estado SCI'!$A$16:$I$59,9,0)</f>
        <v>Oportunidad de mejora</v>
      </c>
      <c r="G39" s="111">
        <f>+VLOOKUP(A39,'Estado SCI'!$A$16:$L$59,12,0)</f>
        <v>100.85123400000001</v>
      </c>
      <c r="H39" s="111">
        <f t="shared" si="0"/>
        <v>35</v>
      </c>
      <c r="I39" s="111" t="str">
        <f>+IF(VLOOKUP(A39,'Estado SCI'!$A$16:$G$59,7,0)="","",VLOOKUP(A39,'Estado SCI'!$A$16:$G$59,7,0))</f>
        <v>En proceso</v>
      </c>
      <c r="J39" s="112">
        <f t="shared" si="2"/>
        <v>0.5</v>
      </c>
      <c r="K39" s="113">
        <f t="shared" si="1"/>
        <v>0.7</v>
      </c>
    </row>
    <row r="40" spans="1:11" x14ac:dyDescent="0.25">
      <c r="A40" s="111" t="s">
        <v>185</v>
      </c>
      <c r="B40" s="111" t="s">
        <v>97</v>
      </c>
      <c r="C40" s="111" t="s">
        <v>68</v>
      </c>
      <c r="D40" s="111" t="s">
        <v>50</v>
      </c>
      <c r="E40" s="111" t="s">
        <v>105</v>
      </c>
      <c r="F40" s="111" t="str">
        <f>+VLOOKUP(A40,'Estado SCI'!$A$16:$I$59,9,0)</f>
        <v>Mantenimiento del control</v>
      </c>
      <c r="G40" s="111">
        <f>+VLOOKUP(A40,'Estado SCI'!$A$16:$L$59,12,0)</f>
        <v>120.8512345</v>
      </c>
      <c r="H40" s="111">
        <f t="shared" si="0"/>
        <v>44</v>
      </c>
      <c r="I40" s="111" t="str">
        <f>+IF(VLOOKUP(A40,'Estado SCI'!$A$16:$G$59,7,0)="","",VLOOKUP(A40,'Estado SCI'!$A$16:$G$59,7,0))</f>
        <v>Si</v>
      </c>
      <c r="J40" s="112">
        <f t="shared" si="2"/>
        <v>1</v>
      </c>
      <c r="K40" s="113">
        <f t="shared" si="1"/>
        <v>0.7</v>
      </c>
    </row>
    <row r="41" spans="1:11" x14ac:dyDescent="0.25">
      <c r="A41" s="111" t="s">
        <v>186</v>
      </c>
      <c r="B41" s="111" t="s">
        <v>97</v>
      </c>
      <c r="C41" s="111" t="s">
        <v>68</v>
      </c>
      <c r="D41" s="111" t="s">
        <v>34</v>
      </c>
      <c r="E41" s="111" t="s">
        <v>108</v>
      </c>
      <c r="F41" s="111" t="str">
        <f>+VLOOKUP(A41,'Estado SCI'!$A$16:$I$59,9,0)</f>
        <v>Oportunidad de mejora</v>
      </c>
      <c r="G41" s="111">
        <f>+VLOOKUP(A41,'Estado SCI'!$A$16:$L$59,12,0)</f>
        <v>100.85123455999999</v>
      </c>
      <c r="H41" s="111">
        <f t="shared" si="0"/>
        <v>36</v>
      </c>
      <c r="I41" s="111" t="str">
        <f>+IF(VLOOKUP(A41,'Estado SCI'!$A$16:$G$59,7,0)="","",VLOOKUP(A41,'Estado SCI'!$A$16:$G$59,7,0))</f>
        <v>En proceso</v>
      </c>
      <c r="J41" s="112">
        <f t="shared" si="2"/>
        <v>0.5</v>
      </c>
      <c r="K41" s="113">
        <f t="shared" si="1"/>
        <v>0.7</v>
      </c>
    </row>
    <row r="42" spans="1:11" x14ac:dyDescent="0.25">
      <c r="A42" s="111" t="s">
        <v>187</v>
      </c>
      <c r="B42" s="111" t="s">
        <v>97</v>
      </c>
      <c r="C42" s="111" t="s">
        <v>73</v>
      </c>
      <c r="D42" s="111" t="s">
        <v>37</v>
      </c>
      <c r="E42" s="111" t="s">
        <v>109</v>
      </c>
      <c r="F42" s="111" t="str">
        <f>+VLOOKUP(A42,'Estado SCI'!$A$16:$I$59,9,0)</f>
        <v>Oportunidad de mejora</v>
      </c>
      <c r="G42" s="111">
        <f>+VLOOKUP(A42,'Estado SCI'!$A$16:$L$59,12,0)</f>
        <v>100.85123456700001</v>
      </c>
      <c r="H42" s="111">
        <f t="shared" si="0"/>
        <v>37</v>
      </c>
      <c r="I42" s="111" t="str">
        <f>+IF(VLOOKUP(A42,'Estado SCI'!$A$16:$G$59,7,0)="","",VLOOKUP(A42,'Estado SCI'!$A$16:$G$59,7,0))</f>
        <v>En proceso</v>
      </c>
      <c r="J42" s="112">
        <f t="shared" si="2"/>
        <v>0.5</v>
      </c>
      <c r="K42" s="113">
        <f t="shared" si="1"/>
        <v>0.7</v>
      </c>
    </row>
    <row r="43" spans="1:11" x14ac:dyDescent="0.25">
      <c r="A43" s="111" t="s">
        <v>188</v>
      </c>
      <c r="B43" s="111" t="s">
        <v>97</v>
      </c>
      <c r="C43" s="111" t="s">
        <v>73</v>
      </c>
      <c r="D43" s="111" t="s">
        <v>40</v>
      </c>
      <c r="E43" s="111" t="s">
        <v>110</v>
      </c>
      <c r="F43" s="111" t="str">
        <f>+VLOOKUP(A43,'Estado SCI'!$A$16:$I$59,9,0)</f>
        <v>Oportunidad de mejora</v>
      </c>
      <c r="G43" s="111">
        <f>+VLOOKUP(A43,'Estado SCI'!$A$16:$L$59,12,0)</f>
        <v>100.85123456780001</v>
      </c>
      <c r="H43" s="111">
        <f t="shared" si="0"/>
        <v>38</v>
      </c>
      <c r="I43" s="111" t="str">
        <f>+IF(VLOOKUP(A43,'Estado SCI'!$A$16:$G$59,7,0)="","",VLOOKUP(A43,'Estado SCI'!$A$16:$G$59,7,0))</f>
        <v>En proceso</v>
      </c>
      <c r="J43" s="112">
        <f t="shared" si="2"/>
        <v>0.5</v>
      </c>
      <c r="K43" s="113">
        <f t="shared" si="1"/>
        <v>0.7</v>
      </c>
    </row>
    <row r="44" spans="1:11" x14ac:dyDescent="0.25">
      <c r="A44" s="111" t="s">
        <v>189</v>
      </c>
      <c r="B44" s="111" t="s">
        <v>97</v>
      </c>
      <c r="C44" s="111" t="s">
        <v>73</v>
      </c>
      <c r="D44" s="111" t="s">
        <v>42</v>
      </c>
      <c r="E44" s="111" t="s">
        <v>111</v>
      </c>
      <c r="F44" s="111" t="str">
        <f>+VLOOKUP(A44,'Estado SCI'!$A$16:$I$59,9,0)</f>
        <v>Oportunidad de mejora</v>
      </c>
      <c r="G44" s="111">
        <f>+VLOOKUP(A44,'Estado SCI'!$A$16:$L$59,12,0)</f>
        <v>100.85123456789</v>
      </c>
      <c r="H44" s="111">
        <f t="shared" si="0"/>
        <v>39</v>
      </c>
      <c r="I44" s="111" t="str">
        <f>+IF(VLOOKUP(A44,'Estado SCI'!$A$16:$G$59,7,0)="","",VLOOKUP(A44,'Estado SCI'!$A$16:$G$59,7,0))</f>
        <v>En proceso</v>
      </c>
      <c r="J44" s="112">
        <f t="shared" si="2"/>
        <v>0.5</v>
      </c>
      <c r="K44" s="113">
        <f t="shared" si="1"/>
        <v>0.7</v>
      </c>
    </row>
    <row r="45" spans="1:11" x14ac:dyDescent="0.25">
      <c r="A45" s="111" t="s">
        <v>190</v>
      </c>
      <c r="B45" s="111" t="s">
        <v>97</v>
      </c>
      <c r="C45" s="111" t="s">
        <v>73</v>
      </c>
      <c r="D45" s="111" t="s">
        <v>44</v>
      </c>
      <c r="E45" s="111" t="s">
        <v>112</v>
      </c>
      <c r="F45" s="111" t="str">
        <f>+VLOOKUP(A45,'Estado SCI'!$A$16:$I$59,9,0)</f>
        <v>Oportunidad de mejora</v>
      </c>
      <c r="G45" s="111">
        <f>+VLOOKUP(A45,'Estado SCI'!$A$16:$L$59,12,0)</f>
        <v>100.851234567891</v>
      </c>
      <c r="H45" s="111">
        <f t="shared" si="0"/>
        <v>40</v>
      </c>
      <c r="I45" s="111" t="str">
        <f>+IF(VLOOKUP(A45,'Estado SCI'!$A$16:$G$59,7,0)="","",VLOOKUP(A45,'Estado SCI'!$A$16:$G$59,7,0))</f>
        <v>En proceso</v>
      </c>
      <c r="J45" s="112">
        <f t="shared" si="2"/>
        <v>0.5</v>
      </c>
      <c r="K45" s="113">
        <f t="shared" si="1"/>
        <v>0.7</v>
      </c>
    </row>
  </sheetData>
  <sheetProtection algorithmName="SHA-512" hashValue="eXgkKlTi9xJKAI7t6Aeb2RaFpkfyF43pI2BIhtxDc7hsl0SqLK8I4Wc7jbZwC5kw3uyIHOBIUXRnh5cC70LKYA==" saltValue="AxKzX6Ar80vT7acQV8rFpQ==" spinCount="100000" sheet="1" objects="1" scenarios="1" selectLockedCells="1"/>
  <autoFilter ref="A1:K45" xr:uid="{00000000-0009-0000-0000-000004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Instructivo</vt:lpstr>
      <vt:lpstr>Estado SCI</vt:lpstr>
      <vt:lpstr>Análisis Resultados</vt:lpstr>
      <vt:lpstr>Conclusión</vt:lpstr>
      <vt:lpstr>Hoja1</vt:lpstr>
      <vt:lpstr>'Análisis Resultados'!Área_de_impresión</vt:lpstr>
      <vt:lpstr>Conclusión!Área_de_impresión</vt:lpstr>
      <vt:lpstr>'Estado SCI'!Área_de_impresión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Juntas Piso 6</dc:creator>
  <cp:lastModifiedBy>Daniel Londoño</cp:lastModifiedBy>
  <cp:revision/>
  <cp:lastPrinted>2020-09-01T00:56:45Z</cp:lastPrinted>
  <dcterms:created xsi:type="dcterms:W3CDTF">2020-04-28T13:58:09Z</dcterms:created>
  <dcterms:modified xsi:type="dcterms:W3CDTF">2025-09-30T19:37:38Z</dcterms:modified>
</cp:coreProperties>
</file>