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https://d.docs.live.net/7141856ef55bbf93/Documentos/EMDAS/CONTROL INTERNO/SEMESTRALES/"/>
    </mc:Choice>
  </mc:AlternateContent>
  <xr:revisionPtr revIDLastSave="0" documentId="8_{B84C1AC5-E6EE-4542-8479-359626184B57}" xr6:coauthVersionLast="47" xr6:coauthVersionMax="47" xr10:uidLastSave="{00000000-0000-0000-0000-000000000000}"/>
  <bookViews>
    <workbookView xWindow="-120" yWindow="-120" windowWidth="20730" windowHeight="11040" activeTab="2"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 name="_xlnm.Print_Area" localSheetId="2">'Análisis Resultados'!$A$1:$J$63</definedName>
    <definedName name="_xlnm.Print_Area" localSheetId="3">Conclusión!$A$1:$M$36</definedName>
    <definedName name="_xlnm.Print_Area" localSheetId="1">'Estado SCI'!$A$1:$I$59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<sst xmlns="http://schemas.openxmlformats.org/spreadsheetml/2006/main" count="511" uniqueCount="241">
  <si>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</si>
  <si>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</si>
  <si>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</si>
  <si>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</si>
  <si>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</si>
  <si>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</si>
  <si>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</si>
  <si>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</si>
  <si>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</si>
  <si>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</si>
  <si>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</si>
  <si>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</si>
  <si>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</si>
  <si>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</si>
  <si>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</si>
  <si>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</si>
  <si>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</si>
  <si>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</si>
  <si>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</si>
  <si>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</si>
  <si>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</si>
  <si>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</si>
  <si>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</si>
  <si>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</si>
  <si>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</si>
  <si>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</si>
  <si>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</si>
  <si>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</si>
  <si>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</si>
  <si>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</si>
  <si>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</si>
  <si>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</si>
  <si>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</si>
  <si>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</si>
  <si>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</si>
  <si>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</si>
  <si>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</si>
  <si>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</si>
  <si>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</si>
  <si>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</si>
  <si>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</si>
  <si>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</si>
  <si>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</si>
  <si>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</si>
  <si>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</si>
  <si>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</si>
  <si>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</si>
  <si>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</si>
  <si>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</si>
  <si>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</si>
  <si>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</si>
  <si>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</si>
  <si>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</si>
  <si>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</si>
  <si>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</si>
  <si>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</si>
  <si>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</si>
  <si>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</si>
  <si>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</si>
  <si>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</si>
  <si>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</si>
  <si>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</si>
  <si>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</si>
  <si>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</si>
  <si>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</si>
  <si>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</si>
  <si>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</si>
  <si>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</si>
  <si>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</si>
  <si>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</si>
  <si>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</si>
  <si>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</si>
  <si>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</si>
  <si>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</si>
  <si>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</si>
  <si>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</si>
  <si>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</si>
  <si>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</si>
  <si>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</si>
  <si>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</si>
  <si>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</si>
  <si>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</si>
  <si>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</si>
  <si>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</si>
  <si>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</si>
  <si>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</si>
  <si>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</si>
  <si>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</si>
  <si>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</si>
  <si>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</si>
  <si>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</si>
  <si>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</si>
  <si>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</si>
  <si>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</si>
  <si>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</si>
  <si>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</si>
  <si>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</si>
  <si>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</si>
  <si>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</si>
  <si>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</si>
  <si>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</si>
  <si>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</si>
  <si>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</si>
  <si>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</si>
  <si>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</si>
  <si>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</si>
  <si>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</si>
  <si>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</si>
  <si>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</si>
  <si>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</si>
  <si>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</si>
  <si>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</si>
  <si>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</si>
  <si>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</si>
  <si>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</si>
  <si>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</si>
  <si>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</si>
  <si>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</si>
  <si>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</si>
  <si>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</si>
  <si>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</si>
  <si>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</si>
  <si>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</si>
  <si>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</si>
  <si>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</si>
  <si>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</si>
  <si>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</si>
  <si>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</si>
  <si>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</si>
  <si>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</si>
  <si>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</si>
  <si>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</si>
  <si>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</si>
  <si>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</si>
  <si>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</si>
  <si>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</si>
  <si>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</si>
  <si>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</si>
  <si>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</si>
  <si>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</si>
  <si>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</si>
  <si>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</si>
  <si>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</si>
  <si>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</si>
  <si>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</si>
  <si>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</si>
  <si>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</si>
  <si>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</si>
  <si>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</si>
  <si>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</si>
  <si>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</si>
  <si>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</si>
  <si>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</si>
  <si>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</si>
  <si>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</si>
  <si>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</si>
  <si>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</si>
  <si>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</si>
  <si>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</si>
  <si>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</si>
  <si>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</si>
  <si>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</si>
  <si>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</si>
  <si>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</si>
  <si>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</si>
  <si>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</si>
  <si>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</si>
  <si>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</si>
  <si>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</si>
  <si>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</si>
  <si>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</si>
  <si>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</si>
  <si>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</si>
  <si>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</si>
  <si>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</si>
  <si>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</si>
  <si>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</si>
  <si>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</si>
  <si>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</si>
  <si>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</si>
  <si>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</si>
  <si>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</si>
  <si>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</si>
  <si>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</si>
  <si>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</si>
  <si>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</si>
  <si>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</si>
  <si>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</si>
  <si>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</si>
  <si>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</si>
  <si>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</si>
  <si>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 xml:space="preserve">Se cuenta con una planta global estructurada por nivel jerarquico </t>
  </si>
  <si>
    <t>No se realiza evaluacion de desempeño, se esta trabajando en la aplicación de una avaluacion.</t>
  </si>
  <si>
    <t>No se han implementado las politicas de seguridad de la informacion TIC, por lo cual no se le da el tratamiento adecuado a la informacion de caracter reservado.</t>
  </si>
  <si>
    <t>EMPRESA DE ASEO Y SERVICIOS PUBLICOS DE SUPIA S.A E.S.P - EMDAS</t>
  </si>
  <si>
    <t>De acuerdo a las fechas de seguimiento se informa a quien corresponde los avances y actividades que faltan por cumplir</t>
  </si>
  <si>
    <t>Se adoptó la Política de Riesgos para EMDAS S.A ESP  la cual incluye la metodología para tratar los riesgos y tambien aquellos asociados a actos de corrupción.
La Entidad se adhiere a los lineamientos establecidos en la “Guía para la Administración del Riesgo y el Diseño de Controles en entidades Públicas” Versión 5 (diciembre de 2020) elaborada por el Departamento Administrativo de la función Pública. Esta incluye riesgos de gestión, corrupción y seguridad digital.</t>
  </si>
  <si>
    <t>La matriz de riesgos implementada por EMDAS integra un Plan de Acción para dar tratamiento a los riesgos a partir del nivel de riesgo residual, se hace indispensable incorporar la totalidad de las áreas y procesos de la entidad en dicha matriz.</t>
  </si>
  <si>
    <t xml:space="preserve">Las responsabilidades de la gestión y control de la información requerida por la entidad para su funcionamiento se encuentra establecida en la normatividad  que regula la entidad, en los manuales de funciones, manuales operativos y contratos. 
</t>
  </si>
  <si>
    <t xml:space="preserve">No se cuenta registro de activos de información detallado y actualizado. </t>
  </si>
  <si>
    <t>Se cuenta con un plan anual de auditoria interna, el cual permite monitorear el sistema de control interno institucional</t>
  </si>
  <si>
    <t>Se estan implementado estrategias que controlen los puntos críticos de la empresa</t>
  </si>
  <si>
    <t>Se estan implementando acciones que encaminen a la mitigacion de los riesgos</t>
  </si>
  <si>
    <t>Se tienen definidas las acciones para controlar los riesgos que puedan afectar el cumplimiento de metas organizacionales.</t>
  </si>
  <si>
    <t xml:space="preserve">Los responsables de los procesos de la empresa gestionan los problemas que se presentan en la operación, muchas veces las respuestas no son inmedidatas debido al recurso humano tan limitado para atender sus numerosas responsabilidades </t>
  </si>
  <si>
    <t xml:space="preserve">El Código de Integridad se encuentra debidamente socializado y adoptado por la entidad. </t>
  </si>
  <si>
    <t xml:space="preserve">Se cuenta con un organigrama,  actualizado a partir de los cargos existentes. </t>
  </si>
  <si>
    <t xml:space="preserve">
1.FORTALEZAS:  Se tienen identificada y documentada la información normativa, presupuestal, de talento humano, infraestructura y tecnología. DEBILIDADES:  Debido a los limitados recursos económicos con que cuenta la empresa no se tiene adoptada ni implementada un plan estrategico de tecnologías de la información ni una política para el manejo y seguridad de la información. </t>
  </si>
  <si>
    <t>Se cuenta con la infraestructura tecnológica elemental para la operación de la entidad, y para el manejo de los sistemas de información exigidos por los organismos de vigilancia y control.</t>
  </si>
  <si>
    <t>La entidad realizó la actualización del MECI a través de la adopción del Modelo Integrado de Planeación y Gestión MIPG</t>
  </si>
  <si>
    <t xml:space="preserve">Se cuenta con planes institucionales orientados al cumplimiento de los objetivos  y metas de la entidad. </t>
  </si>
  <si>
    <t xml:space="preserve">Se cuenta con planes y programas de capacitación y bienestar con las directrices a seguir, aprobados con acto administrativo, se dispone de evidencias de ejecución. </t>
  </si>
  <si>
    <t xml:space="preserve">Aunque no se tiene adoptado el proceso de desvinculación de servidores públicos, el retiro de los trabajadores y funcionarios se realiza conforme al marco normativo en cuanto a la liquidación de prestaciones sociales y proceso de entrega de información. </t>
  </si>
  <si>
    <t>La entidad realiza rendición de cuentas de su quehacer a través de las redes sociales y en los espacios de participación o formación con los grupos de interés, del mismo modo anualmente a través de la audiencia pública de rendición de cuentas a la ciudadanía rinde informe sobre su gestión.</t>
  </si>
  <si>
    <t>Cada área de gestión o proceso cuenta con un cronograma de presentación de informes a rendir a los entes internos y externos con su respectivo responsable y fecha de presentación.</t>
  </si>
  <si>
    <t>Se cuenta con un mapa de riesgos actualizado que integra diversas áreas de la empresa.</t>
  </si>
  <si>
    <t>En el mapa de riesgos institucional están incluidos los riesgos asociados a TICs y los controles y medidas a implementar para evitarlos, o mitigarlos.</t>
  </si>
  <si>
    <t xml:space="preserve">Se identifican y se realizan las observaciones y recomendaciones para  ajustar o fortalecer los controles. </t>
  </si>
  <si>
    <t xml:space="preserve">Se está en proceso de realizar espacios de trabajo para socializar los resultados del seguimiento a riesgo </t>
  </si>
  <si>
    <t xml:space="preserve"> Se realizan sugerencias por las áreas de trabajo y se toman decisiones en conjunto con la Gerencia.</t>
  </si>
  <si>
    <t>Bajo el principio de autocontrol el líder de cada proceso realiza los ajustes o mejoras pertinentes al desarrollo de los procesos.</t>
  </si>
  <si>
    <t>Los líderes de los procesos eventualmente se realizan seguimientos para verificar el tratamiento y mitigacion de los riesgos, se requiere implementar estrategias que mejoren esta acción.</t>
  </si>
  <si>
    <t xml:space="preserve">Se cuenta con mapa de riesgos institucional,  que integra los riesgos de corupción y de tecnologías de la información y las comunicaciones que hasta el momento han sido identificados. </t>
  </si>
  <si>
    <t xml:space="preserve">Se cuenta con Plan Anticorrupción y Atención al Ciudadano aprobado y publicado.
</t>
  </si>
  <si>
    <t xml:space="preserve">Se cuenta con un normograma de la entidad actualizado anualmente, un presupuesto asignado para cada vigiencia con el cual se realiza el plan anual de adquisiciones, se dispone de información correspondiente al talento humano, maquinaria y equipos indispensables para la operación del servicio. </t>
  </si>
  <si>
    <t xml:space="preserve">Se cuenta con los intrumentos elementales para evaluar la gestión de la entidad. </t>
  </si>
  <si>
    <t>Las acciones para controlar o evitar la materialización de los riegos se encuentran en proceso de implementación.</t>
  </si>
  <si>
    <t xml:space="preserve">1.DEBILIDADES: los recursos continuan siendo insuficientes para la implementacion de todo el sistema . No se cuenta con una estructura organizacional actualizada.  2.FORTALEZAS: Alto compromiso de quienes desarrollan los procesos, cumpliendo con todas las obligaciones tanto con los clientes externos como los internos, además con los órganos de inspección,  vigilancia y control. 2.FORTALEZA: Alto compormiso por parte de la Gerente para llevar a cabo todos los procesos, esfuerzo para obtener los recursos y contratar acompañamiento en los procesos de control interno,  se tiene una cultura del control y existe un fuerte compromiso con la política anticorrupción. 
</t>
  </si>
  <si>
    <t xml:space="preserve">1.FORTALEZAS:  Se cuenta con una política de riesgos debidamente documentada y divulgada. 2. DEBILIDADES:  No se ha identificado riesgos para la totalidad de áreas y procesos de la entidad, en función de garantizar su debido tratamiento y control. </t>
  </si>
  <si>
    <t xml:space="preserve">1. DEBILIDADES: Debido a que el área administrativa cuenta con un recurso humano muy limitado para atender las multiples responsabilidades y actividades requeridas para garantizar la adecuada y oportuna operación de la empresa, se genera acumulación de tareas y por ende un mayor esfuerzo del personal administrativo y gerencial, afectando el debido registro y control de las actividades 2.FORTALEZAS: Alto compromiso de quienes desarrollan los procesos, cumpliendo con todas las obligaciones tanto con los clientes externos como internos, además con los entes de  inspección, vigilancia y control.
</t>
  </si>
  <si>
    <t xml:space="preserve">1. DEBILIDADES: En la Planta de Personal no se tiene creado el cargo de control interno,  debido a que no existen recursos para diseñar y establecer este cargo, lo cual afecta la evaluación, seguimiento y control pertinente y oportuno del sistema de control interno para la toma de decisiones. 2. FORTALEZAS: Se contratan los servicios de evaluación y auditoría para el sistema de control interno, se realiza de manera independiente labores de seguimiento a los procesos de la empresa. </t>
  </si>
  <si>
    <t>Se cuenta con la documentación de las funciones específicas para cada puesto de trabajo. No obstante se deben incorporar MEFCL para los cargos generados a patir de la implementación de nuevos servicios según Resolución CRA 720 DE 2015</t>
  </si>
  <si>
    <t>La entidad elaboró Los manuales de procesos y procedimientos, se debe aplicar seguimiento a los puntos de control y monitorear su adecuada aplicación por los responsables de los procesos.</t>
  </si>
  <si>
    <t xml:space="preserve">En el mapa de riesgos estan incorporados los riesgos de corrupción a los que la entidad puede estar expuesta. </t>
  </si>
  <si>
    <t>Se implementará una evaluación a  los riesgos para generar estrategias que permitan la mitigacion de los riesgos</t>
  </si>
  <si>
    <t>Se cuenta con canales de comunicacion interna y externa que permite una mejor interacción con el usuario. 
Atención presencial en la oficina, lineas de atención telefónica, whatsapp, correo electrónico y página web</t>
  </si>
  <si>
    <t>No se dio pleno cumplimiento a los reportes normativos, requeridos por los entes gubernamentales, a través de los canales que ellos señalan específicamente reporte FURAG e ITA. Se procura dar cumplimiento a la Ley 1712 de 2014, con la publicación de información en el link de transparencia.</t>
  </si>
  <si>
    <t xml:space="preserve">Se cuenta con Planes de  Mejora Internos a  partir de las observaciones y recomendaciones formuladas en los informes de seguimiento y auditoría realizadas por el área de Control Interno. </t>
  </si>
  <si>
    <t>Se realiza seguimiento periódico a los planes de mejoramiento suscritos con organismos de control y área de control interno</t>
  </si>
  <si>
    <t xml:space="preserve">La  entidad  no ha sido invitada al comité municipal de auditoria, en donde se abordan temas relacionados con el control interno </t>
  </si>
  <si>
    <t>ENERO A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</si>
</sst>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5" x14ac:knownFonts="1">
    <font>
      <sz val="11"/>
      <color theme="1"/>
      <name val="Calibri"/>
      <family val="2"/>
      <scheme val="minor"/>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b/>
      <sz val="18"/>
      <color theme="1"/>
      <name val="Calibri"/>
      <family val="2"/>
      <scheme val="minor"/>
    </font>
    <font>
      <b/>
      <sz val="20"/>
      <name val="Arial"/>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12"/>
      <name val="Arial"/>
      <family val="2"/>
    </font>
    <font>
      <sz val="8"/>
      <name val="Arial Narrow"/>
      <family val="2"/>
    </font>
    <font>
      <b/>
      <sz val="11"/>
      <color theme="1"/>
      <name val="Calibri"/>
      <family val="2"/>
      <scheme val="minor"/>
    </font>
    <font>
      <b/>
      <sz val="22"/>
      <color theme="1"/>
      <name val="Arial Narrow"/>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102">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9" fontId="2" fillId="0" borderId="0" applyFont="0" applyFill="0" applyBorder="0" applyAlignment="0" applyProtection="0"/>
    <xf numFmtId="0" fontId="20" fillId="0" borderId="0"/>
    <xf numFmtId="0" fontId="28" fillId="0" borderId="0"/>
    <xf numFmtId="0" fontId="32" fillId="0" borderId="0"/>
  </cellStyleXfs>
  <cellXfs count="333">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6" fillId="4" borderId="0" xfId="0" applyFont="1" applyFill="1" applyAlignment="1">
      <alignment horizontal="center"/>
    </xf>
    <xf numFmtId="0" fontId="0" fillId="4" borderId="21" xfId="0" applyFill="1" applyBorder="1"/>
    <xf numFmtId="164" fontId="6" fillId="4" borderId="0" xfId="0" applyNumberFormat="1" applyFont="1" applyFill="1" applyAlignment="1">
      <alignment horizontal="center"/>
    </xf>
    <xf numFmtId="0" fontId="7" fillId="4" borderId="0" xfId="0" applyFont="1" applyFill="1" applyAlignment="1">
      <alignment vertical="center"/>
    </xf>
    <xf numFmtId="0" fontId="9" fillId="4" borderId="0" xfId="0" applyFont="1" applyFill="1" applyAlignment="1">
      <alignment horizontal="center" vertical="center"/>
    </xf>
    <xf numFmtId="0" fontId="10" fillId="4" borderId="0" xfId="0" applyFont="1" applyFill="1"/>
    <xf numFmtId="0" fontId="8" fillId="4" borderId="0" xfId="0" applyFont="1" applyFill="1" applyAlignment="1">
      <alignment horizontal="center" vertical="center"/>
    </xf>
    <xf numFmtId="0" fontId="1" fillId="4" borderId="30" xfId="0" applyFont="1" applyFill="1" applyBorder="1" applyAlignment="1">
      <alignment horizontal="center" vertical="center"/>
    </xf>
    <xf numFmtId="0" fontId="1" fillId="4" borderId="0" xfId="0" applyFont="1" applyFill="1" applyAlignment="1">
      <alignment horizontal="center" vertical="center"/>
    </xf>
    <xf numFmtId="0" fontId="11" fillId="4" borderId="0" xfId="0" applyFont="1" applyFill="1" applyAlignment="1">
      <alignment wrapText="1"/>
    </xf>
    <xf numFmtId="0" fontId="12" fillId="4" borderId="0" xfId="0" applyFont="1" applyFill="1" applyAlignment="1">
      <alignment wrapText="1"/>
    </xf>
    <xf numFmtId="0" fontId="4" fillId="0" borderId="0" xfId="0" applyFont="1" applyAlignment="1">
      <alignment vertical="center"/>
    </xf>
    <xf numFmtId="9" fontId="1" fillId="0" borderId="0" xfId="0" applyNumberFormat="1" applyFont="1" applyAlignment="1">
      <alignment vertical="center"/>
    </xf>
    <xf numFmtId="0" fontId="1" fillId="4" borderId="21" xfId="0" applyFont="1" applyFill="1" applyBorder="1" applyAlignment="1">
      <alignment vertical="center"/>
    </xf>
    <xf numFmtId="0" fontId="1" fillId="4" borderId="0" xfId="0" applyFont="1" applyFill="1" applyAlignment="1">
      <alignment vertical="center"/>
    </xf>
    <xf numFmtId="0" fontId="0" fillId="0" borderId="3" xfId="0" applyBorder="1"/>
    <xf numFmtId="0" fontId="4" fillId="4" borderId="0" xfId="0" applyFont="1" applyFill="1" applyAlignment="1">
      <alignment vertical="center"/>
    </xf>
    <xf numFmtId="0" fontId="1"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xf numFmtId="0" fontId="0" fillId="4" borderId="34" xfId="0" applyFill="1" applyBorder="1"/>
    <xf numFmtId="0" fontId="0" fillId="4" borderId="35" xfId="0" applyFill="1" applyBorder="1"/>
    <xf numFmtId="0" fontId="0" fillId="4" borderId="36" xfId="0" applyFill="1" applyBorder="1"/>
    <xf numFmtId="0" fontId="19" fillId="0" borderId="0" xfId="0" applyFont="1" applyAlignment="1">
      <alignment horizontal="center" wrapText="1"/>
    </xf>
    <xf numFmtId="0" fontId="4" fillId="4" borderId="0" xfId="0" applyFont="1" applyFill="1" applyAlignment="1">
      <alignment horizontal="center" vertical="center" wrapText="1"/>
    </xf>
    <xf numFmtId="0" fontId="3" fillId="4" borderId="0" xfId="0" applyFont="1" applyFill="1"/>
    <xf numFmtId="0" fontId="4" fillId="4" borderId="0" xfId="0" applyFont="1" applyFill="1" applyAlignment="1">
      <alignment horizontal="left" vertical="center"/>
    </xf>
    <xf numFmtId="9" fontId="4" fillId="4" borderId="0" xfId="0" applyNumberFormat="1" applyFont="1" applyFill="1" applyAlignment="1">
      <alignment horizontal="center" vertical="center"/>
    </xf>
    <xf numFmtId="0" fontId="3" fillId="4" borderId="0" xfId="0" applyFont="1" applyFill="1" applyAlignment="1">
      <alignment horizontal="left"/>
    </xf>
    <xf numFmtId="0" fontId="21" fillId="0" borderId="0" xfId="2" applyFont="1" applyAlignment="1" applyProtection="1">
      <alignment vertical="center"/>
      <protection locked="0"/>
    </xf>
    <xf numFmtId="49" fontId="23" fillId="4" borderId="0" xfId="2" applyNumberFormat="1" applyFont="1" applyFill="1" applyAlignment="1" applyProtection="1">
      <alignment vertical="center"/>
      <protection locked="0"/>
    </xf>
    <xf numFmtId="0" fontId="23" fillId="4" borderId="0" xfId="2" applyFont="1" applyFill="1" applyAlignment="1" applyProtection="1">
      <alignment vertical="center"/>
      <protection locked="0"/>
    </xf>
    <xf numFmtId="9" fontId="25" fillId="4" borderId="0" xfId="2" applyNumberFormat="1" applyFont="1" applyFill="1" applyAlignment="1" applyProtection="1">
      <alignment vertical="center"/>
      <protection locked="0"/>
    </xf>
    <xf numFmtId="9" fontId="21" fillId="4" borderId="0" xfId="1" applyFont="1" applyFill="1" applyAlignment="1" applyProtection="1">
      <alignment vertical="center"/>
      <protection locked="0"/>
    </xf>
    <xf numFmtId="9" fontId="21" fillId="4" borderId="0" xfId="2" applyNumberFormat="1" applyFont="1" applyFill="1" applyAlignment="1" applyProtection="1">
      <alignment vertical="center"/>
      <protection locked="0"/>
    </xf>
    <xf numFmtId="0" fontId="25" fillId="4" borderId="0" xfId="2" applyFont="1" applyFill="1" applyAlignment="1" applyProtection="1">
      <alignment vertical="center"/>
      <protection locked="0"/>
    </xf>
    <xf numFmtId="0" fontId="25" fillId="0" borderId="0" xfId="3" applyFont="1"/>
    <xf numFmtId="0" fontId="6" fillId="4" borderId="0" xfId="0" applyFont="1" applyFill="1"/>
    <xf numFmtId="0" fontId="6" fillId="0" borderId="0" xfId="0" applyFont="1"/>
    <xf numFmtId="0" fontId="35" fillId="0" borderId="0" xfId="0" applyFont="1" applyAlignment="1">
      <alignment vertical="top"/>
    </xf>
    <xf numFmtId="49" fontId="35" fillId="0" borderId="0" xfId="0" applyNumberFormat="1" applyFont="1" applyAlignment="1">
      <alignment horizontal="center" vertical="top"/>
    </xf>
    <xf numFmtId="0" fontId="21" fillId="4" borderId="0" xfId="2" applyFont="1" applyFill="1" applyAlignment="1" applyProtection="1">
      <alignment vertical="center"/>
      <protection locked="0"/>
    </xf>
    <xf numFmtId="0" fontId="25" fillId="4" borderId="0" xfId="3" applyFont="1" applyFill="1"/>
    <xf numFmtId="0" fontId="25" fillId="4" borderId="59" xfId="3" applyFont="1" applyFill="1" applyBorder="1" applyAlignment="1">
      <alignment vertical="top" wrapText="1"/>
    </xf>
    <xf numFmtId="0" fontId="25" fillId="4" borderId="0" xfId="3" applyFont="1" applyFill="1" applyAlignment="1">
      <alignment vertical="top" wrapText="1"/>
    </xf>
    <xf numFmtId="0" fontId="25" fillId="4" borderId="60" xfId="3" applyFont="1" applyFill="1" applyBorder="1" applyAlignment="1">
      <alignment vertical="top" wrapText="1"/>
    </xf>
    <xf numFmtId="0" fontId="25" fillId="4" borderId="59" xfId="3" applyFont="1" applyFill="1" applyBorder="1" applyAlignment="1">
      <alignment horizontal="left" vertical="top"/>
    </xf>
    <xf numFmtId="0" fontId="25" fillId="4" borderId="60" xfId="3" applyFont="1" applyFill="1" applyBorder="1" applyAlignment="1">
      <alignment horizontal="left" vertical="top"/>
    </xf>
    <xf numFmtId="0" fontId="25" fillId="4" borderId="59" xfId="3" applyFont="1" applyFill="1" applyBorder="1"/>
    <xf numFmtId="0" fontId="33" fillId="4" borderId="0" xfId="4" applyFont="1" applyFill="1" applyAlignment="1">
      <alignment horizontal="left" vertical="top" wrapText="1" readingOrder="1"/>
    </xf>
    <xf numFmtId="0" fontId="25" fillId="4" borderId="60" xfId="3" applyFont="1" applyFill="1" applyBorder="1"/>
    <xf numFmtId="0" fontId="25" fillId="4" borderId="72" xfId="3" applyFont="1" applyFill="1" applyBorder="1"/>
    <xf numFmtId="0" fontId="25" fillId="4" borderId="73" xfId="3" applyFont="1" applyFill="1" applyBorder="1"/>
    <xf numFmtId="0" fontId="25" fillId="4" borderId="74" xfId="3" applyFont="1" applyFill="1" applyBorder="1"/>
    <xf numFmtId="0" fontId="33" fillId="4" borderId="0" xfId="0" applyFont="1" applyFill="1" applyAlignment="1">
      <alignment horizontal="left" vertical="center" wrapText="1"/>
    </xf>
    <xf numFmtId="0" fontId="34" fillId="4" borderId="0" xfId="0" applyFont="1" applyFill="1" applyAlignment="1">
      <alignment horizontal="left" vertical="top" wrapText="1"/>
    </xf>
    <xf numFmtId="0" fontId="25" fillId="4" borderId="0" xfId="3" quotePrefix="1" applyFont="1" applyFill="1" applyAlignment="1">
      <alignment horizontal="left" vertical="center" wrapText="1"/>
    </xf>
    <xf numFmtId="0" fontId="31" fillId="4" borderId="0" xfId="3" applyFont="1" applyFill="1" applyAlignment="1">
      <alignment horizontal="left" vertical="center" wrapText="1"/>
    </xf>
    <xf numFmtId="0" fontId="25" fillId="4" borderId="0" xfId="3" applyFont="1" applyFill="1" applyAlignment="1">
      <alignment horizontal="left" vertical="center" wrapText="1"/>
    </xf>
    <xf numFmtId="0" fontId="6" fillId="4" borderId="0" xfId="0" applyFont="1" applyFill="1" applyAlignment="1">
      <alignment vertical="center"/>
    </xf>
    <xf numFmtId="0" fontId="6" fillId="0" borderId="0" xfId="0" applyFont="1" applyAlignment="1">
      <alignment vertical="center"/>
    </xf>
    <xf numFmtId="0" fontId="7" fillId="4" borderId="0" xfId="0" applyFont="1" applyFill="1"/>
    <xf numFmtId="0" fontId="7" fillId="0" borderId="0" xfId="0" applyFont="1" applyAlignment="1">
      <alignment vertical="top"/>
    </xf>
    <xf numFmtId="0" fontId="7" fillId="0" borderId="0" xfId="0" applyFont="1"/>
    <xf numFmtId="0" fontId="39" fillId="9" borderId="11" xfId="0" applyFont="1" applyFill="1" applyBorder="1" applyAlignment="1">
      <alignment horizontal="center" vertical="top"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45" fillId="0" borderId="0" xfId="0" applyFont="1" applyAlignment="1">
      <alignment horizontal="center" wrapText="1"/>
    </xf>
    <xf numFmtId="0" fontId="8" fillId="15"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46" fillId="2" borderId="3" xfId="0" applyFont="1" applyFill="1" applyBorder="1" applyAlignment="1">
      <alignment horizontal="center" vertical="center"/>
    </xf>
    <xf numFmtId="0" fontId="38" fillId="0" borderId="3" xfId="0" applyFont="1" applyBorder="1" applyAlignment="1">
      <alignment horizontal="center" vertical="center"/>
    </xf>
    <xf numFmtId="0" fontId="48" fillId="0" borderId="0" xfId="0" applyFont="1" applyAlignment="1">
      <alignment horizontal="center"/>
    </xf>
    <xf numFmtId="0" fontId="47" fillId="12" borderId="31" xfId="0" applyFont="1" applyFill="1" applyBorder="1" applyAlignment="1">
      <alignment horizontal="center" vertical="center" wrapText="1"/>
    </xf>
    <xf numFmtId="0" fontId="38" fillId="0" borderId="0" xfId="0" applyFont="1" applyAlignment="1">
      <alignment horizontal="center" vertical="center" wrapText="1"/>
    </xf>
    <xf numFmtId="0" fontId="24" fillId="4" borderId="0" xfId="2" applyFont="1" applyFill="1" applyAlignment="1">
      <alignment vertical="center" wrapText="1"/>
    </xf>
    <xf numFmtId="0" fontId="34" fillId="4" borderId="0" xfId="2" applyFont="1" applyFill="1" applyAlignment="1">
      <alignment vertical="center" wrapText="1"/>
    </xf>
    <xf numFmtId="0" fontId="35" fillId="0" borderId="0" xfId="0" applyFont="1" applyAlignment="1" applyProtection="1">
      <alignment horizontal="center" vertical="top"/>
      <protection hidden="1"/>
    </xf>
    <xf numFmtId="0" fontId="7" fillId="0" borderId="0" xfId="0" applyFont="1" applyAlignment="1" applyProtection="1">
      <alignment horizontal="center" vertical="top"/>
      <protection hidden="1"/>
    </xf>
    <xf numFmtId="49" fontId="7" fillId="0" borderId="0" xfId="0" applyNumberFormat="1" applyFont="1" applyAlignment="1" applyProtection="1">
      <alignment horizontal="center" vertical="top"/>
      <protection hidden="1"/>
    </xf>
    <xf numFmtId="0" fontId="7" fillId="0" borderId="0" xfId="0" applyFont="1" applyAlignment="1" applyProtection="1">
      <alignment vertical="top"/>
      <protection hidden="1"/>
    </xf>
    <xf numFmtId="0" fontId="18" fillId="2" borderId="82" xfId="2" applyFont="1" applyFill="1" applyBorder="1" applyAlignment="1">
      <alignment horizontal="center" vertical="center"/>
    </xf>
    <xf numFmtId="0" fontId="18" fillId="2" borderId="82" xfId="2" applyFont="1" applyFill="1" applyBorder="1" applyAlignment="1">
      <alignment horizontal="center" vertical="center" wrapText="1"/>
    </xf>
    <xf numFmtId="0" fontId="43"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38" fillId="2" borderId="26" xfId="0" applyNumberFormat="1" applyFont="1" applyFill="1" applyBorder="1" applyAlignment="1" applyProtection="1">
      <alignment horizontal="center" vertical="center"/>
      <protection hidden="1"/>
    </xf>
    <xf numFmtId="0" fontId="38" fillId="0" borderId="3" xfId="0" applyFont="1" applyBorder="1" applyAlignment="1" applyProtection="1">
      <alignment horizontal="center" vertical="center"/>
      <protection hidden="1"/>
    </xf>
    <xf numFmtId="9" fontId="13" fillId="14" borderId="3" xfId="0" applyNumberFormat="1" applyFont="1" applyFill="1" applyBorder="1" applyAlignment="1" applyProtection="1">
      <alignment horizontal="center" vertical="center"/>
      <protection hidden="1"/>
    </xf>
    <xf numFmtId="49" fontId="50" fillId="4" borderId="2" xfId="0" applyNumberFormat="1" applyFont="1" applyFill="1" applyBorder="1" applyAlignment="1" applyProtection="1">
      <alignment horizontal="center" vertical="center" wrapText="1"/>
      <protection locked="0"/>
    </xf>
    <xf numFmtId="49" fontId="50" fillId="4" borderId="3" xfId="0" applyNumberFormat="1" applyFont="1" applyFill="1" applyBorder="1" applyAlignment="1" applyProtection="1">
      <alignment horizontal="center" vertical="center" wrapText="1"/>
      <protection locked="0"/>
    </xf>
    <xf numFmtId="49" fontId="50" fillId="4" borderId="4" xfId="0" applyNumberFormat="1" applyFont="1" applyFill="1" applyBorder="1" applyAlignment="1" applyProtection="1">
      <alignment horizontal="center" vertical="center" wrapText="1"/>
      <protection locked="0"/>
    </xf>
    <xf numFmtId="49" fontId="17" fillId="5" borderId="7" xfId="0" applyNumberFormat="1" applyFont="1" applyFill="1" applyBorder="1" applyAlignment="1" applyProtection="1">
      <alignment horizontal="center" vertical="center" wrapText="1"/>
      <protection hidden="1"/>
    </xf>
    <xf numFmtId="0" fontId="17" fillId="5" borderId="7" xfId="0" applyFont="1" applyFill="1" applyBorder="1" applyAlignment="1" applyProtection="1">
      <alignment horizontal="center" vertical="center" wrapText="1"/>
      <protection hidden="1"/>
    </xf>
    <xf numFmtId="0" fontId="17" fillId="5" borderId="10" xfId="0" applyFont="1" applyFill="1" applyBorder="1" applyAlignment="1" applyProtection="1">
      <alignment horizontal="center" vertical="center" wrapText="1"/>
      <protection hidden="1"/>
    </xf>
    <xf numFmtId="0" fontId="17"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39" fillId="9" borderId="14" xfId="0" applyNumberFormat="1" applyFont="1" applyFill="1" applyBorder="1" applyAlignment="1">
      <alignment horizontal="center" vertical="center" wrapText="1"/>
    </xf>
    <xf numFmtId="49" fontId="39" fillId="9" borderId="11" xfId="0" applyNumberFormat="1" applyFont="1" applyFill="1" applyBorder="1" applyAlignment="1">
      <alignment horizontal="center" vertical="center" wrapText="1"/>
    </xf>
    <xf numFmtId="0" fontId="41" fillId="0" borderId="2"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41" fillId="0" borderId="2" xfId="0" applyFont="1" applyBorder="1" applyAlignment="1">
      <alignment horizontal="justify" vertical="center" wrapText="1"/>
    </xf>
    <xf numFmtId="0" fontId="42" fillId="0" borderId="3" xfId="0" applyFont="1" applyBorder="1" applyAlignment="1">
      <alignment horizontal="justify" vertical="center" wrapText="1"/>
    </xf>
    <xf numFmtId="0" fontId="41" fillId="0" borderId="3" xfId="0" applyFont="1" applyBorder="1" applyAlignment="1">
      <alignment horizontal="justify" vertical="center" wrapText="1"/>
    </xf>
    <xf numFmtId="0" fontId="41" fillId="0" borderId="4" xfId="0" applyFont="1" applyBorder="1" applyAlignment="1">
      <alignment horizontal="justify" vertical="center" wrapText="1"/>
    </xf>
    <xf numFmtId="0" fontId="41" fillId="0" borderId="79" xfId="0" applyFont="1" applyBorder="1" applyAlignment="1" applyProtection="1">
      <alignment horizontal="justify" vertical="center" wrapText="1"/>
      <protection locked="0"/>
    </xf>
    <xf numFmtId="0" fontId="41" fillId="0" borderId="79" xfId="0" applyFont="1" applyBorder="1" applyAlignment="1" applyProtection="1">
      <alignment horizontal="center" vertical="center" wrapText="1"/>
      <protection hidden="1"/>
    </xf>
    <xf numFmtId="0" fontId="42" fillId="0" borderId="9" xfId="0" applyFont="1" applyBorder="1" applyAlignment="1" applyProtection="1">
      <alignment horizontal="justify" vertical="center" wrapText="1"/>
      <protection locked="0"/>
    </xf>
    <xf numFmtId="0" fontId="41" fillId="0" borderId="9" xfId="0" applyFont="1" applyBorder="1" applyAlignment="1" applyProtection="1">
      <alignment horizontal="justify" vertical="center" wrapText="1"/>
      <protection locked="0"/>
    </xf>
    <xf numFmtId="0" fontId="41" fillId="0" borderId="9" xfId="0" applyFont="1" applyBorder="1" applyAlignment="1" applyProtection="1">
      <alignment horizontal="center" vertical="center" wrapText="1"/>
      <protection hidden="1"/>
    </xf>
    <xf numFmtId="0" fontId="41" fillId="0" borderId="80" xfId="0" applyFont="1" applyBorder="1" applyAlignment="1" applyProtection="1">
      <alignment horizontal="justify" vertical="center" wrapText="1"/>
      <protection locked="0"/>
    </xf>
    <xf numFmtId="0" fontId="41" fillId="0" borderId="80" xfId="0" applyFont="1" applyBorder="1" applyAlignment="1" applyProtection="1">
      <alignment horizontal="center" vertical="center" wrapText="1"/>
      <protection hidden="1"/>
    </xf>
    <xf numFmtId="0" fontId="41" fillId="0" borderId="8" xfId="0" applyFont="1" applyBorder="1" applyAlignment="1" applyProtection="1">
      <alignment horizontal="center" vertical="center" wrapText="1"/>
      <protection hidden="1"/>
    </xf>
    <xf numFmtId="0" fontId="41" fillId="0" borderId="94" xfId="0" applyFont="1" applyBorder="1" applyAlignment="1" applyProtection="1">
      <alignment horizontal="center" vertical="center" wrapText="1"/>
      <protection hidden="1"/>
    </xf>
    <xf numFmtId="0" fontId="41" fillId="0" borderId="95" xfId="0" applyFont="1" applyBorder="1" applyAlignment="1" applyProtection="1">
      <alignment horizontal="center" vertical="center" wrapText="1"/>
      <protection hidden="1"/>
    </xf>
    <xf numFmtId="0" fontId="42" fillId="0" borderId="94" xfId="0" applyFont="1" applyBorder="1" applyAlignment="1" applyProtection="1">
      <alignment horizontal="center" vertical="center" wrapText="1"/>
      <protection hidden="1"/>
    </xf>
    <xf numFmtId="49" fontId="40" fillId="5" borderId="98" xfId="0" applyNumberFormat="1" applyFont="1" applyFill="1" applyBorder="1" applyAlignment="1">
      <alignment horizontal="center" vertical="center" wrapText="1"/>
    </xf>
    <xf numFmtId="49" fontId="40" fillId="5" borderId="99" xfId="0" applyNumberFormat="1" applyFont="1" applyFill="1" applyBorder="1" applyAlignment="1">
      <alignment horizontal="center" vertical="center" wrapText="1"/>
    </xf>
    <xf numFmtId="0" fontId="40" fillId="5" borderId="99" xfId="0" applyFont="1" applyFill="1" applyBorder="1" applyAlignment="1">
      <alignment horizontal="center" vertical="center" wrapText="1"/>
    </xf>
    <xf numFmtId="0" fontId="40" fillId="5" borderId="100" xfId="0" applyFont="1" applyFill="1" applyBorder="1" applyAlignment="1">
      <alignment horizontal="center" vertical="center" wrapText="1"/>
    </xf>
    <xf numFmtId="0" fontId="40" fillId="5" borderId="101" xfId="0" applyFont="1" applyFill="1" applyBorder="1" applyAlignment="1">
      <alignment horizontal="center" vertical="center" wrapText="1"/>
    </xf>
    <xf numFmtId="0" fontId="41" fillId="4" borderId="9" xfId="0" applyFont="1" applyFill="1" applyBorder="1" applyAlignment="1" applyProtection="1">
      <alignment horizontal="justify" vertical="center" wrapText="1"/>
      <protection locked="0"/>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35" fillId="0" borderId="2" xfId="0" applyFont="1" applyBorder="1" applyAlignment="1" applyProtection="1">
      <alignment horizontal="justify" vertical="center" wrapText="1"/>
      <protection hidden="1"/>
    </xf>
    <xf numFmtId="0" fontId="35" fillId="0" borderId="3" xfId="0" applyFont="1" applyBorder="1" applyAlignment="1" applyProtection="1">
      <alignment horizontal="justify" vertical="center" wrapText="1"/>
      <protection hidden="1"/>
    </xf>
    <xf numFmtId="0" fontId="35" fillId="0" borderId="4" xfId="0" applyFont="1" applyBorder="1" applyAlignment="1" applyProtection="1">
      <alignment horizontal="justify" vertical="center" wrapText="1"/>
      <protection hidden="1"/>
    </xf>
    <xf numFmtId="0" fontId="35" fillId="0" borderId="7" xfId="0" applyFont="1" applyBorder="1" applyAlignment="1" applyProtection="1">
      <alignment horizontal="justify" vertical="center" wrapText="1"/>
      <protection hidden="1"/>
    </xf>
    <xf numFmtId="0" fontId="35" fillId="0" borderId="6" xfId="0" applyFont="1" applyBorder="1" applyAlignment="1" applyProtection="1">
      <alignment horizontal="justify" vertical="center" wrapText="1"/>
      <protection hidden="1"/>
    </xf>
    <xf numFmtId="0" fontId="52" fillId="0" borderId="84" xfId="0" applyFont="1" applyBorder="1" applyAlignment="1" applyProtection="1">
      <alignment horizontal="justify" vertical="center" wrapText="1"/>
      <protection hidden="1"/>
    </xf>
    <xf numFmtId="0" fontId="52" fillId="0" borderId="85" xfId="0" applyFont="1" applyBorder="1" applyAlignment="1" applyProtection="1">
      <alignment horizontal="justify" vertical="center" wrapText="1"/>
      <protection hidden="1"/>
    </xf>
    <xf numFmtId="0" fontId="52" fillId="0" borderId="86" xfId="0" applyFont="1" applyBorder="1" applyAlignment="1" applyProtection="1">
      <alignment horizontal="justify" vertical="center" wrapText="1"/>
      <protection hidden="1"/>
    </xf>
    <xf numFmtId="0" fontId="52" fillId="0" borderId="5" xfId="0" applyFont="1" applyBorder="1" applyAlignment="1" applyProtection="1">
      <alignment horizontal="justify" vertical="center" wrapText="1"/>
      <protection hidden="1"/>
    </xf>
    <xf numFmtId="0" fontId="52" fillId="0" borderId="6" xfId="0" applyFont="1" applyBorder="1" applyAlignment="1" applyProtection="1">
      <alignment horizontal="justify" vertical="center" wrapText="1"/>
      <protection hidden="1"/>
    </xf>
    <xf numFmtId="0" fontId="52" fillId="0" borderId="3" xfId="0" applyFont="1" applyBorder="1" applyAlignment="1" applyProtection="1">
      <alignment horizontal="justify" vertical="center" wrapText="1"/>
      <protection hidden="1"/>
    </xf>
    <xf numFmtId="0" fontId="52" fillId="0" borderId="7" xfId="0" applyFont="1" applyBorder="1" applyAlignment="1" applyProtection="1">
      <alignment horizontal="justify" vertical="center" wrapText="1"/>
      <protection hidden="1"/>
    </xf>
    <xf numFmtId="0" fontId="41" fillId="4" borderId="79" xfId="0" applyFont="1" applyFill="1" applyBorder="1" applyAlignment="1" applyProtection="1">
      <alignment horizontal="justify" vertical="top" wrapText="1"/>
      <protection locked="0"/>
    </xf>
    <xf numFmtId="0" fontId="53" fillId="4" borderId="0" xfId="0" applyFont="1" applyFill="1"/>
    <xf numFmtId="0" fontId="53" fillId="4" borderId="18" xfId="0" applyFont="1" applyFill="1" applyBorder="1"/>
    <xf numFmtId="0" fontId="53" fillId="0" borderId="0" xfId="0" applyFont="1"/>
    <xf numFmtId="0" fontId="53" fillId="4" borderId="35" xfId="0" applyFont="1" applyFill="1" applyBorder="1"/>
    <xf numFmtId="0" fontId="41" fillId="0" borderId="9" xfId="0" applyFont="1" applyBorder="1" applyAlignment="1" applyProtection="1">
      <alignment horizontal="left" vertical="center" wrapText="1"/>
      <protection locked="0"/>
    </xf>
    <xf numFmtId="0" fontId="29" fillId="0" borderId="58" xfId="3" applyFont="1" applyBorder="1" applyAlignment="1">
      <alignment horizontal="center" vertical="center" wrapText="1"/>
    </xf>
    <xf numFmtId="0" fontId="29" fillId="0" borderId="55" xfId="3" applyFont="1" applyBorder="1" applyAlignment="1">
      <alignment horizontal="center" vertical="center" wrapText="1"/>
    </xf>
    <xf numFmtId="0" fontId="29" fillId="0" borderId="8" xfId="3" applyFont="1" applyBorder="1" applyAlignment="1">
      <alignment horizontal="center" vertical="center" wrapText="1"/>
    </xf>
    <xf numFmtId="0" fontId="25" fillId="0" borderId="59" xfId="3" quotePrefix="1" applyFont="1" applyBorder="1" applyAlignment="1">
      <alignment horizontal="left" vertical="center" wrapText="1"/>
    </xf>
    <xf numFmtId="0" fontId="25" fillId="0" borderId="0" xfId="3" quotePrefix="1" applyFont="1" applyAlignment="1">
      <alignment horizontal="left" vertical="center" wrapText="1"/>
    </xf>
    <xf numFmtId="0" fontId="25" fillId="0" borderId="60" xfId="3" quotePrefix="1" applyFont="1" applyBorder="1" applyAlignment="1">
      <alignment horizontal="left" vertical="center" wrapText="1"/>
    </xf>
    <xf numFmtId="0" fontId="30" fillId="4" borderId="59" xfId="3" quotePrefix="1" applyFont="1" applyFill="1" applyBorder="1" applyAlignment="1">
      <alignment horizontal="left" vertical="top" wrapText="1"/>
    </xf>
    <xf numFmtId="0" fontId="24" fillId="4" borderId="0" xfId="3" quotePrefix="1" applyFont="1" applyFill="1" applyAlignment="1">
      <alignment horizontal="left" vertical="top" wrapText="1"/>
    </xf>
    <xf numFmtId="0" fontId="24" fillId="4" borderId="60" xfId="3" quotePrefix="1" applyFont="1" applyFill="1" applyBorder="1" applyAlignment="1">
      <alignment horizontal="left" vertical="top" wrapText="1"/>
    </xf>
    <xf numFmtId="0" fontId="25"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33" fillId="16" borderId="61" xfId="4" applyFont="1" applyFill="1" applyBorder="1" applyAlignment="1">
      <alignment horizontal="center" vertical="center" wrapText="1"/>
    </xf>
    <xf numFmtId="0" fontId="33" fillId="16" borderId="62" xfId="4" applyFont="1" applyFill="1" applyBorder="1" applyAlignment="1">
      <alignment horizontal="center" vertical="center" wrapText="1"/>
    </xf>
    <xf numFmtId="0" fontId="33" fillId="16" borderId="63" xfId="3" applyFont="1" applyFill="1" applyBorder="1" applyAlignment="1">
      <alignment horizontal="center" vertical="center"/>
    </xf>
    <xf numFmtId="0" fontId="33" fillId="16" borderId="64" xfId="3" applyFont="1" applyFill="1" applyBorder="1" applyAlignment="1">
      <alignment horizontal="center" vertical="center"/>
    </xf>
    <xf numFmtId="0" fontId="33" fillId="4" borderId="75" xfId="4" applyFont="1" applyFill="1" applyBorder="1" applyAlignment="1">
      <alignment horizontal="left" vertical="center" wrapText="1" readingOrder="1"/>
    </xf>
    <xf numFmtId="0" fontId="33" fillId="4" borderId="76" xfId="4" applyFont="1" applyFill="1" applyBorder="1" applyAlignment="1">
      <alignment horizontal="left" vertical="center" wrapText="1" readingOrder="1"/>
    </xf>
    <xf numFmtId="0" fontId="34" fillId="0" borderId="65" xfId="3" applyFont="1" applyBorder="1" applyAlignment="1">
      <alignment horizontal="left" vertical="center" wrapText="1"/>
    </xf>
    <xf numFmtId="0" fontId="34" fillId="0" borderId="66" xfId="3" applyFont="1" applyBorder="1" applyAlignment="1">
      <alignment horizontal="left" vertical="center" wrapText="1"/>
    </xf>
    <xf numFmtId="0" fontId="33" fillId="4" borderId="67" xfId="0" applyFont="1" applyFill="1" applyBorder="1" applyAlignment="1">
      <alignment horizontal="left" vertical="center" wrapText="1"/>
    </xf>
    <xf numFmtId="0" fontId="33" fillId="4" borderId="68" xfId="0" applyFont="1" applyFill="1" applyBorder="1" applyAlignment="1">
      <alignment horizontal="left" vertical="center" wrapText="1"/>
    </xf>
    <xf numFmtId="0" fontId="34" fillId="0" borderId="69" xfId="3" applyFont="1" applyBorder="1" applyAlignment="1">
      <alignment horizontal="left" vertical="center" wrapText="1"/>
    </xf>
    <xf numFmtId="0" fontId="34" fillId="0" borderId="70" xfId="3" applyFont="1" applyBorder="1" applyAlignment="1">
      <alignment horizontal="left" vertical="center" wrapText="1"/>
    </xf>
    <xf numFmtId="0" fontId="34" fillId="0" borderId="69" xfId="3" applyFont="1" applyBorder="1" applyAlignment="1">
      <alignment horizontal="left" vertical="top" wrapText="1"/>
    </xf>
    <xf numFmtId="0" fontId="34" fillId="0" borderId="70" xfId="3" applyFont="1" applyBorder="1" applyAlignment="1">
      <alignment horizontal="left" vertical="top" wrapText="1"/>
    </xf>
    <xf numFmtId="0" fontId="25" fillId="4" borderId="59" xfId="3" applyFont="1" applyFill="1" applyBorder="1" applyAlignment="1">
      <alignment horizontal="left" vertical="top" wrapText="1"/>
    </xf>
    <xf numFmtId="0" fontId="25" fillId="4" borderId="0" xfId="3" applyFont="1" applyFill="1" applyAlignment="1">
      <alignment horizontal="left" vertical="top" wrapText="1"/>
    </xf>
    <xf numFmtId="0" fontId="25" fillId="4" borderId="60" xfId="3" applyFont="1" applyFill="1" applyBorder="1" applyAlignment="1">
      <alignment horizontal="left" vertical="top" wrapText="1"/>
    </xf>
    <xf numFmtId="0" fontId="25" fillId="4" borderId="0" xfId="3" applyFont="1" applyFill="1"/>
    <xf numFmtId="0" fontId="33" fillId="4" borderId="77" xfId="0" applyFont="1" applyFill="1" applyBorder="1" applyAlignment="1">
      <alignment horizontal="left" vertical="center" wrapText="1"/>
    </xf>
    <xf numFmtId="0" fontId="33" fillId="4" borderId="78" xfId="0" applyFont="1" applyFill="1" applyBorder="1" applyAlignment="1">
      <alignment horizontal="left" vertical="center" wrapText="1"/>
    </xf>
    <xf numFmtId="0" fontId="16" fillId="2" borderId="44" xfId="2" applyFont="1" applyFill="1" applyBorder="1" applyAlignment="1">
      <alignment horizontal="center" vertical="center" wrapText="1"/>
    </xf>
    <xf numFmtId="0" fontId="16" fillId="2" borderId="45" xfId="2" applyFont="1" applyFill="1" applyBorder="1" applyAlignment="1">
      <alignment horizontal="center" vertical="center" wrapText="1"/>
    </xf>
    <xf numFmtId="0" fontId="24" fillId="7" borderId="50" xfId="2" applyFont="1" applyFill="1" applyBorder="1" applyAlignment="1">
      <alignment horizontal="center" vertical="center"/>
    </xf>
    <xf numFmtId="0" fontId="24" fillId="7" borderId="51" xfId="2" applyFont="1" applyFill="1" applyBorder="1" applyAlignment="1">
      <alignment horizontal="center" vertical="center"/>
    </xf>
    <xf numFmtId="0" fontId="25" fillId="0" borderId="56" xfId="2" applyFont="1" applyBorder="1" applyAlignment="1">
      <alignment horizontal="justify" vertical="center" wrapText="1"/>
    </xf>
    <xf numFmtId="0" fontId="25" fillId="0" borderId="57" xfId="2" applyFont="1" applyBorder="1" applyAlignment="1">
      <alignment horizontal="justify" vertical="center" wrapText="1"/>
    </xf>
    <xf numFmtId="0" fontId="24" fillId="8" borderId="52" xfId="2" applyFont="1" applyFill="1" applyBorder="1" applyAlignment="1">
      <alignment horizontal="center" vertical="center" wrapText="1"/>
    </xf>
    <xf numFmtId="0" fontId="24" fillId="8" borderId="53" xfId="2" applyFont="1" applyFill="1" applyBorder="1" applyAlignment="1">
      <alignment horizontal="center" vertical="center"/>
    </xf>
    <xf numFmtId="0" fontId="25" fillId="0" borderId="53" xfId="2" applyFont="1" applyBorder="1" applyAlignment="1">
      <alignment horizontal="justify" vertical="center" wrapText="1"/>
    </xf>
    <xf numFmtId="0" fontId="25" fillId="0" borderId="54" xfId="2" applyFont="1" applyBorder="1" applyAlignment="1">
      <alignment horizontal="justify" vertical="center" wrapText="1"/>
    </xf>
    <xf numFmtId="0" fontId="36" fillId="4" borderId="71" xfId="2" applyFont="1" applyFill="1" applyBorder="1" applyAlignment="1">
      <alignment horizontal="center" vertical="center" wrapText="1"/>
    </xf>
    <xf numFmtId="0" fontId="23" fillId="4" borderId="71" xfId="2" applyFont="1" applyFill="1" applyBorder="1" applyAlignment="1">
      <alignment horizontal="center" vertical="center" wrapText="1"/>
    </xf>
    <xf numFmtId="0" fontId="16" fillId="2" borderId="46" xfId="2" applyFont="1" applyFill="1" applyBorder="1" applyAlignment="1">
      <alignment horizontal="center" vertical="center" wrapText="1"/>
    </xf>
    <xf numFmtId="0" fontId="24" fillId="14" borderId="47" xfId="2" applyFont="1" applyFill="1" applyBorder="1" applyAlignment="1">
      <alignment horizontal="center" vertical="center"/>
    </xf>
    <xf numFmtId="0" fontId="24" fillId="14" borderId="48" xfId="2" applyFont="1" applyFill="1" applyBorder="1" applyAlignment="1">
      <alignment horizontal="center" vertical="center"/>
    </xf>
    <xf numFmtId="0" fontId="25" fillId="0" borderId="48" xfId="2" applyFont="1" applyBorder="1" applyAlignment="1">
      <alignment horizontal="justify" vertical="center" wrapText="1"/>
    </xf>
    <xf numFmtId="0" fontId="25" fillId="0" borderId="49" xfId="2" applyFont="1" applyBorder="1" applyAlignment="1">
      <alignment horizontal="justify" vertical="center" wrapText="1"/>
    </xf>
    <xf numFmtId="0" fontId="39" fillId="9" borderId="11" xfId="0" applyFont="1" applyFill="1" applyBorder="1" applyAlignment="1">
      <alignment horizontal="center" vertical="center" wrapText="1"/>
    </xf>
    <xf numFmtId="0" fontId="39" fillId="9" borderId="12" xfId="0" applyFont="1" applyFill="1" applyBorder="1" applyAlignment="1">
      <alignment horizontal="center" vertical="center" wrapText="1"/>
    </xf>
    <xf numFmtId="0" fontId="39" fillId="9" borderId="13" xfId="0" applyFont="1" applyFill="1" applyBorder="1" applyAlignment="1">
      <alignment horizontal="center" vertical="center" wrapText="1"/>
    </xf>
    <xf numFmtId="49" fontId="39" fillId="9" borderId="14" xfId="0" applyNumberFormat="1" applyFont="1" applyFill="1" applyBorder="1" applyAlignment="1">
      <alignment horizontal="center" vertical="center" wrapText="1"/>
    </xf>
    <xf numFmtId="49" fontId="39" fillId="9" borderId="15" xfId="0" applyNumberFormat="1" applyFont="1" applyFill="1" applyBorder="1" applyAlignment="1">
      <alignment horizontal="center" vertical="center" wrapText="1"/>
    </xf>
    <xf numFmtId="49" fontId="39" fillId="9" borderId="16" xfId="0" applyNumberFormat="1" applyFont="1" applyFill="1" applyBorder="1" applyAlignment="1">
      <alignment horizontal="center" vertical="center" wrapText="1"/>
    </xf>
    <xf numFmtId="49" fontId="39" fillId="6" borderId="96" xfId="0" applyNumberFormat="1" applyFont="1" applyFill="1" applyBorder="1" applyAlignment="1">
      <alignment horizontal="center" vertical="center" wrapText="1"/>
    </xf>
    <xf numFmtId="49" fontId="39" fillId="6" borderId="81" xfId="0" applyNumberFormat="1" applyFont="1" applyFill="1" applyBorder="1" applyAlignment="1">
      <alignment horizontal="center" vertical="center" wrapText="1"/>
    </xf>
    <xf numFmtId="49" fontId="39" fillId="6" borderId="97" xfId="0" applyNumberFormat="1" applyFont="1" applyFill="1" applyBorder="1" applyAlignment="1">
      <alignment horizontal="center" vertical="center" wrapText="1"/>
    </xf>
    <xf numFmtId="49" fontId="39" fillId="10" borderId="96" xfId="0" applyNumberFormat="1" applyFont="1" applyFill="1" applyBorder="1" applyAlignment="1">
      <alignment horizontal="center" vertical="center" wrapText="1"/>
    </xf>
    <xf numFmtId="49" fontId="39" fillId="10" borderId="81" xfId="0" applyNumberFormat="1" applyFont="1" applyFill="1" applyBorder="1" applyAlignment="1">
      <alignment horizontal="center" vertical="center" wrapText="1"/>
    </xf>
    <xf numFmtId="49" fontId="39" fillId="10" borderId="97" xfId="0" applyNumberFormat="1" applyFont="1" applyFill="1" applyBorder="1" applyAlignment="1">
      <alignment horizontal="center" vertical="center" wrapText="1"/>
    </xf>
    <xf numFmtId="49" fontId="39" fillId="2" borderId="11" xfId="0" applyNumberFormat="1" applyFont="1" applyFill="1" applyBorder="1" applyAlignment="1">
      <alignment horizontal="center" vertical="center" wrapText="1"/>
    </xf>
    <xf numFmtId="49" fontId="39" fillId="2" borderId="12" xfId="0" applyNumberFormat="1" applyFont="1" applyFill="1" applyBorder="1" applyAlignment="1">
      <alignment horizontal="center" vertical="center" wrapText="1"/>
    </xf>
    <xf numFmtId="49" fontId="39" fillId="2" borderId="13" xfId="0" applyNumberFormat="1" applyFont="1" applyFill="1" applyBorder="1" applyAlignment="1">
      <alignment horizontal="center" vertical="center" wrapText="1"/>
    </xf>
    <xf numFmtId="49" fontId="39" fillId="11" borderId="11" xfId="0" applyNumberFormat="1" applyFont="1" applyFill="1" applyBorder="1" applyAlignment="1">
      <alignment horizontal="center" vertical="center" wrapText="1"/>
    </xf>
    <xf numFmtId="49" fontId="39" fillId="11" borderId="12" xfId="0" applyNumberFormat="1" applyFont="1" applyFill="1" applyBorder="1" applyAlignment="1">
      <alignment horizontal="center" vertical="center" wrapText="1"/>
    </xf>
    <xf numFmtId="49" fontId="39" fillId="11" borderId="13" xfId="0" applyNumberFormat="1" applyFont="1" applyFill="1" applyBorder="1" applyAlignment="1">
      <alignment horizontal="center" vertical="center" wrapText="1"/>
    </xf>
    <xf numFmtId="49" fontId="39" fillId="9" borderId="11" xfId="0" applyNumberFormat="1" applyFont="1" applyFill="1" applyBorder="1" applyAlignment="1">
      <alignment horizontal="center" vertical="center" wrapText="1"/>
    </xf>
    <xf numFmtId="49" fontId="39" fillId="9" borderId="12" xfId="0" applyNumberFormat="1" applyFont="1" applyFill="1" applyBorder="1" applyAlignment="1">
      <alignment horizontal="center" vertical="center" wrapText="1"/>
    </xf>
    <xf numFmtId="49" fontId="39" fillId="9" borderId="13" xfId="0" applyNumberFormat="1" applyFont="1" applyFill="1" applyBorder="1" applyAlignment="1">
      <alignment horizontal="center" vertical="center" wrapText="1"/>
    </xf>
    <xf numFmtId="49" fontId="39" fillId="10" borderId="22" xfId="0" applyNumberFormat="1" applyFont="1" applyFill="1" applyBorder="1" applyAlignment="1">
      <alignment horizontal="center" vertical="center" wrapText="1"/>
    </xf>
    <xf numFmtId="0" fontId="39" fillId="10" borderId="90" xfId="0" applyFont="1" applyFill="1" applyBorder="1" applyAlignment="1">
      <alignment horizontal="center" vertical="center" wrapText="1"/>
    </xf>
    <xf numFmtId="0" fontId="39" fillId="10" borderId="91" xfId="0" applyFont="1" applyFill="1" applyBorder="1" applyAlignment="1">
      <alignment horizontal="center" vertical="center" wrapText="1"/>
    </xf>
    <xf numFmtId="0" fontId="39" fillId="10" borderId="92" xfId="0" applyFont="1" applyFill="1" applyBorder="1" applyAlignment="1">
      <alignment horizontal="center" vertical="center" wrapText="1"/>
    </xf>
    <xf numFmtId="49" fontId="39" fillId="10" borderId="3" xfId="0" applyNumberFormat="1" applyFont="1" applyFill="1" applyBorder="1" applyAlignment="1">
      <alignment horizontal="center" vertical="center" wrapText="1"/>
    </xf>
    <xf numFmtId="49" fontId="39" fillId="10" borderId="15" xfId="0" applyNumberFormat="1" applyFont="1" applyFill="1" applyBorder="1" applyAlignment="1">
      <alignment horizontal="center" vertical="center" wrapText="1"/>
    </xf>
    <xf numFmtId="0" fontId="39" fillId="10" borderId="14" xfId="0" applyFont="1" applyFill="1" applyBorder="1" applyAlignment="1">
      <alignment horizontal="center" vertical="center" wrapText="1"/>
    </xf>
    <xf numFmtId="0" fontId="39" fillId="10" borderId="15" xfId="0" applyFont="1" applyFill="1" applyBorder="1" applyAlignment="1">
      <alignment horizontal="center" vertical="center" wrapText="1"/>
    </xf>
    <xf numFmtId="0" fontId="39" fillId="10" borderId="16" xfId="0" applyFont="1" applyFill="1" applyBorder="1" applyAlignment="1">
      <alignment horizontal="center" vertical="center" wrapText="1"/>
    </xf>
    <xf numFmtId="49" fontId="39" fillId="2" borderId="14" xfId="0" applyNumberFormat="1" applyFont="1" applyFill="1" applyBorder="1" applyAlignment="1">
      <alignment horizontal="center" vertical="center" wrapText="1"/>
    </xf>
    <xf numFmtId="49" fontId="39" fillId="2" borderId="15" xfId="0" applyNumberFormat="1" applyFont="1" applyFill="1" applyBorder="1" applyAlignment="1">
      <alignment horizontal="center" vertical="center" wrapText="1"/>
    </xf>
    <xf numFmtId="49" fontId="39" fillId="2" borderId="16" xfId="0" applyNumberFormat="1" applyFont="1" applyFill="1" applyBorder="1" applyAlignment="1">
      <alignment horizontal="center" vertical="center" wrapText="1"/>
    </xf>
    <xf numFmtId="0" fontId="39" fillId="2" borderId="11"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39" fillId="2" borderId="13" xfId="0" applyFont="1" applyFill="1" applyBorder="1" applyAlignment="1">
      <alignment horizontal="center" vertical="center" wrapText="1"/>
    </xf>
    <xf numFmtId="49" fontId="40" fillId="5" borderId="24" xfId="0" applyNumberFormat="1" applyFont="1" applyFill="1" applyBorder="1" applyAlignment="1">
      <alignment horizontal="center" vertical="center"/>
    </xf>
    <xf numFmtId="49" fontId="40" fillId="5" borderId="1" xfId="0" applyNumberFormat="1" applyFont="1" applyFill="1" applyBorder="1" applyAlignment="1">
      <alignment horizontal="center" vertical="center"/>
    </xf>
    <xf numFmtId="49" fontId="40" fillId="5" borderId="25" xfId="0" applyNumberFormat="1" applyFont="1" applyFill="1" applyBorder="1" applyAlignment="1">
      <alignment horizontal="center" vertical="center"/>
    </xf>
    <xf numFmtId="0" fontId="39" fillId="11" borderId="11" xfId="0" applyFont="1" applyFill="1" applyBorder="1" applyAlignment="1">
      <alignment horizontal="center" vertical="center" wrapText="1"/>
    </xf>
    <xf numFmtId="0" fontId="39" fillId="11" borderId="12" xfId="0" applyFont="1" applyFill="1" applyBorder="1" applyAlignment="1">
      <alignment horizontal="center" vertical="center" wrapText="1"/>
    </xf>
    <xf numFmtId="0" fontId="39" fillId="11" borderId="13" xfId="0" applyFont="1" applyFill="1" applyBorder="1" applyAlignment="1">
      <alignment horizontal="center" vertical="center" wrapText="1"/>
    </xf>
    <xf numFmtId="49" fontId="39" fillId="11" borderId="14" xfId="0" applyNumberFormat="1" applyFont="1" applyFill="1" applyBorder="1" applyAlignment="1">
      <alignment horizontal="center" vertical="center" wrapText="1"/>
    </xf>
    <xf numFmtId="49" fontId="39" fillId="11" borderId="15" xfId="0" applyNumberFormat="1" applyFont="1" applyFill="1" applyBorder="1" applyAlignment="1">
      <alignment horizontal="center" vertical="center" wrapText="1"/>
    </xf>
    <xf numFmtId="49" fontId="39" fillId="11" borderId="16" xfId="0" applyNumberFormat="1" applyFont="1" applyFill="1" applyBorder="1" applyAlignment="1">
      <alignment horizontal="center" vertical="center" wrapText="1"/>
    </xf>
    <xf numFmtId="0" fontId="39" fillId="6" borderId="14" xfId="0" applyFont="1" applyFill="1" applyBorder="1" applyAlignment="1">
      <alignment horizontal="center" vertical="center" wrapText="1"/>
    </xf>
    <xf numFmtId="0" fontId="39" fillId="6" borderId="15" xfId="0" applyFont="1" applyFill="1" applyBorder="1" applyAlignment="1">
      <alignment horizontal="center" vertical="center" wrapText="1"/>
    </xf>
    <xf numFmtId="0" fontId="39" fillId="6" borderId="16" xfId="0" applyFont="1" applyFill="1" applyBorder="1" applyAlignment="1">
      <alignment horizontal="center" vertical="center" wrapText="1"/>
    </xf>
    <xf numFmtId="49" fontId="7" fillId="6" borderId="1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6" xfId="0" applyNumberFormat="1" applyFont="1" applyFill="1" applyBorder="1" applyAlignment="1">
      <alignment horizontal="center" vertical="center" wrapText="1"/>
    </xf>
    <xf numFmtId="49" fontId="7" fillId="10" borderId="14" xfId="0" applyNumberFormat="1" applyFont="1" applyFill="1" applyBorder="1" applyAlignment="1">
      <alignment horizontal="center" vertical="center" wrapText="1"/>
    </xf>
    <xf numFmtId="49" fontId="7" fillId="10" borderId="15" xfId="0" applyNumberFormat="1" applyFont="1" applyFill="1" applyBorder="1" applyAlignment="1">
      <alignment horizontal="center" vertical="center" wrapText="1"/>
    </xf>
    <xf numFmtId="49" fontId="7" fillId="10" borderId="16" xfId="0" applyNumberFormat="1" applyFont="1" applyFill="1" applyBorder="1" applyAlignment="1">
      <alignment horizontal="center" vertical="center" wrapText="1"/>
    </xf>
    <xf numFmtId="9" fontId="37" fillId="0" borderId="87" xfId="0" applyNumberFormat="1" applyFont="1" applyBorder="1" applyAlignment="1" applyProtection="1">
      <alignment horizontal="center" vertical="center"/>
      <protection hidden="1"/>
    </xf>
    <xf numFmtId="9" fontId="37" fillId="0" borderId="88" xfId="0" applyNumberFormat="1" applyFont="1" applyBorder="1" applyAlignment="1" applyProtection="1">
      <alignment horizontal="center" vertical="center"/>
      <protection hidden="1"/>
    </xf>
    <xf numFmtId="9" fontId="27" fillId="7" borderId="84" xfId="1" applyFont="1" applyFill="1" applyBorder="1" applyAlignment="1" applyProtection="1">
      <alignment horizontal="center" vertical="center"/>
      <protection hidden="1"/>
    </xf>
    <xf numFmtId="9" fontId="27" fillId="7" borderId="85" xfId="1" applyFont="1" applyFill="1" applyBorder="1" applyAlignment="1" applyProtection="1">
      <alignment horizontal="center" vertical="center"/>
      <protection hidden="1"/>
    </xf>
    <xf numFmtId="9" fontId="27" fillId="7" borderId="86" xfId="1" applyFont="1" applyFill="1" applyBorder="1" applyAlignment="1" applyProtection="1">
      <alignment horizontal="center" vertical="center"/>
      <protection hidden="1"/>
    </xf>
    <xf numFmtId="0" fontId="26" fillId="9" borderId="14" xfId="0" applyFont="1" applyFill="1" applyBorder="1" applyAlignment="1">
      <alignment horizontal="center" vertical="center" textRotation="90"/>
    </xf>
    <xf numFmtId="0" fontId="26" fillId="9" borderId="15" xfId="0" applyFont="1" applyFill="1" applyBorder="1" applyAlignment="1">
      <alignment horizontal="center" vertical="center" textRotation="90"/>
    </xf>
    <xf numFmtId="0" fontId="26" fillId="9" borderId="16" xfId="0" applyFont="1" applyFill="1" applyBorder="1" applyAlignment="1">
      <alignment horizontal="center" vertical="center" textRotation="90"/>
    </xf>
    <xf numFmtId="9" fontId="37" fillId="4" borderId="87" xfId="0" applyNumberFormat="1" applyFont="1" applyFill="1" applyBorder="1" applyAlignment="1" applyProtection="1">
      <alignment horizontal="center" vertical="center"/>
      <protection hidden="1"/>
    </xf>
    <xf numFmtId="9" fontId="37" fillId="4" borderId="88" xfId="0" applyNumberFormat="1" applyFont="1" applyFill="1" applyBorder="1" applyAlignment="1" applyProtection="1">
      <alignment horizontal="center" vertical="center"/>
      <protection hidden="1"/>
    </xf>
    <xf numFmtId="9" fontId="37" fillId="4" borderId="89" xfId="0" applyNumberFormat="1" applyFont="1" applyFill="1" applyBorder="1" applyAlignment="1" applyProtection="1">
      <alignment horizontal="center" vertical="center"/>
      <protection hidden="1"/>
    </xf>
    <xf numFmtId="0" fontId="26" fillId="11" borderId="15" xfId="0" applyFont="1" applyFill="1" applyBorder="1" applyAlignment="1">
      <alignment horizontal="center" vertical="center" textRotation="90"/>
    </xf>
    <xf numFmtId="0" fontId="26" fillId="2" borderId="14" xfId="0" applyFont="1" applyFill="1" applyBorder="1" applyAlignment="1">
      <alignment horizontal="center" vertical="center" textRotation="90"/>
    </xf>
    <xf numFmtId="0" fontId="26" fillId="2" borderId="15" xfId="0" applyFont="1" applyFill="1" applyBorder="1" applyAlignment="1">
      <alignment horizontal="center" vertical="center" textRotation="90"/>
    </xf>
    <xf numFmtId="0" fontId="26" fillId="2" borderId="16" xfId="0" applyFont="1" applyFill="1" applyBorder="1" applyAlignment="1">
      <alignment horizontal="center" vertical="center" textRotation="90"/>
    </xf>
    <xf numFmtId="9" fontId="37" fillId="0" borderId="89" xfId="0" applyNumberFormat="1" applyFont="1" applyBorder="1" applyAlignment="1" applyProtection="1">
      <alignment horizontal="center" vertical="center"/>
      <protection hidden="1"/>
    </xf>
    <xf numFmtId="0" fontId="26" fillId="10" borderId="14" xfId="0" applyFont="1" applyFill="1" applyBorder="1" applyAlignment="1">
      <alignment horizontal="center" vertical="center" textRotation="90"/>
    </xf>
    <xf numFmtId="0" fontId="26" fillId="10" borderId="15" xfId="0" applyFont="1" applyFill="1" applyBorder="1" applyAlignment="1">
      <alignment horizontal="center" vertical="center" textRotation="90"/>
    </xf>
    <xf numFmtId="0" fontId="18" fillId="3" borderId="32" xfId="2" applyFont="1" applyFill="1" applyBorder="1" applyAlignment="1">
      <alignment horizontal="center" vertical="center" wrapText="1"/>
    </xf>
    <xf numFmtId="0" fontId="18" fillId="3" borderId="33" xfId="2" applyFont="1" applyFill="1" applyBorder="1" applyAlignment="1">
      <alignment horizontal="center" vertical="center" wrapText="1"/>
    </xf>
    <xf numFmtId="0" fontId="22" fillId="6" borderId="14" xfId="0" applyFont="1" applyFill="1" applyBorder="1" applyAlignment="1">
      <alignment horizontal="center" vertical="center" textRotation="90" wrapText="1"/>
    </xf>
    <xf numFmtId="0" fontId="22" fillId="6" borderId="15" xfId="0" applyFont="1" applyFill="1" applyBorder="1" applyAlignment="1">
      <alignment horizontal="center" vertical="center" textRotation="90" wrapText="1"/>
    </xf>
    <xf numFmtId="0" fontId="22" fillId="6" borderId="16" xfId="0" applyFont="1" applyFill="1" applyBorder="1" applyAlignment="1">
      <alignment horizontal="center" vertical="center" textRotation="90" wrapText="1"/>
    </xf>
    <xf numFmtId="0" fontId="18" fillId="2" borderId="37" xfId="2" applyFont="1" applyFill="1" applyBorder="1" applyAlignment="1">
      <alignment horizontal="center" vertical="center" wrapText="1"/>
    </xf>
    <xf numFmtId="0" fontId="18" fillId="2" borderId="83"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9"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18" fillId="2" borderId="41" xfId="2" applyFont="1" applyFill="1" applyBorder="1" applyAlignment="1">
      <alignment horizontal="center" vertical="center" wrapText="1"/>
    </xf>
    <xf numFmtId="0" fontId="18" fillId="2" borderId="43" xfId="2" applyFont="1" applyFill="1" applyBorder="1" applyAlignment="1">
      <alignment horizontal="center" vertical="center" wrapText="1"/>
    </xf>
    <xf numFmtId="0" fontId="5" fillId="2" borderId="2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5" xfId="0" applyFont="1" applyFill="1" applyBorder="1" applyAlignment="1">
      <alignment horizontal="center" vertical="center"/>
    </xf>
    <xf numFmtId="49" fontId="44" fillId="4" borderId="91" xfId="0" applyNumberFormat="1" applyFont="1" applyFill="1" applyBorder="1" applyAlignment="1">
      <alignment horizontal="left" vertical="center" wrapText="1"/>
    </xf>
    <xf numFmtId="49" fontId="44" fillId="4" borderId="3" xfId="0" applyNumberFormat="1" applyFont="1" applyFill="1" applyBorder="1" applyAlignment="1">
      <alignment horizontal="left" vertical="center" wrapText="1"/>
    </xf>
    <xf numFmtId="49" fontId="44" fillId="4" borderId="92" xfId="0" applyNumberFormat="1" applyFont="1" applyFill="1" applyBorder="1" applyAlignment="1">
      <alignment horizontal="left" vertical="center" wrapText="1"/>
    </xf>
    <xf numFmtId="49" fontId="44" fillId="4" borderId="4" xfId="0" applyNumberFormat="1" applyFont="1" applyFill="1" applyBorder="1" applyAlignment="1">
      <alignment horizontal="left" vertical="center" wrapText="1"/>
    </xf>
    <xf numFmtId="0" fontId="46" fillId="2" borderId="7"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4" fillId="4" borderId="3" xfId="0" applyFont="1" applyFill="1" applyBorder="1" applyAlignment="1" applyProtection="1">
      <alignment horizontal="center" vertical="center"/>
      <protection locked="0"/>
    </xf>
    <xf numFmtId="164" fontId="54" fillId="4" borderId="22" xfId="0" applyNumberFormat="1" applyFont="1" applyFill="1" applyBorder="1" applyAlignment="1" applyProtection="1">
      <alignment horizontal="center" vertical="center"/>
      <protection locked="0"/>
    </xf>
    <xf numFmtId="164" fontId="54" fillId="4" borderId="23" xfId="0" applyNumberFormat="1" applyFont="1" applyFill="1" applyBorder="1" applyAlignment="1" applyProtection="1">
      <alignment horizontal="center" vertical="center"/>
      <protection locked="0"/>
    </xf>
    <xf numFmtId="164" fontId="54" fillId="4" borderId="9" xfId="0" applyNumberFormat="1" applyFont="1" applyFill="1" applyBorder="1" applyAlignment="1" applyProtection="1">
      <alignment horizontal="center" vertical="center"/>
      <protection locked="0"/>
    </xf>
    <xf numFmtId="0" fontId="47" fillId="2" borderId="24"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2" borderId="25"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49" fontId="44" fillId="4" borderId="90" xfId="0" applyNumberFormat="1" applyFont="1" applyFill="1" applyBorder="1" applyAlignment="1">
      <alignment horizontal="left" vertical="center" wrapText="1"/>
    </xf>
    <xf numFmtId="49" fontId="44" fillId="4" borderId="2" xfId="0" applyNumberFormat="1" applyFont="1" applyFill="1" applyBorder="1" applyAlignment="1">
      <alignment horizontal="left" vertical="center" wrapText="1"/>
    </xf>
    <xf numFmtId="49" fontId="0" fillId="4" borderId="2" xfId="0" applyNumberFormat="1" applyFill="1" applyBorder="1" applyAlignment="1" applyProtection="1">
      <alignment horizontal="center" vertical="top" wrapText="1"/>
      <protection locked="0"/>
    </xf>
    <xf numFmtId="49" fontId="0" fillId="4" borderId="84" xfId="0" applyNumberFormat="1" applyFill="1" applyBorder="1" applyAlignment="1" applyProtection="1">
      <alignment horizontal="center" vertical="top" wrapText="1"/>
      <protection locked="0"/>
    </xf>
    <xf numFmtId="49" fontId="0" fillId="4" borderId="3" xfId="0" applyNumberFormat="1" applyFill="1" applyBorder="1" applyAlignment="1" applyProtection="1">
      <alignment horizontal="center" vertical="top" wrapText="1"/>
      <protection locked="0"/>
    </xf>
    <xf numFmtId="49" fontId="0" fillId="4" borderId="85" xfId="0" applyNumberFormat="1" applyFill="1" applyBorder="1" applyAlignment="1" applyProtection="1">
      <alignment horizontal="center" vertical="top" wrapText="1"/>
      <protection locked="0"/>
    </xf>
    <xf numFmtId="49" fontId="0" fillId="4" borderId="4" xfId="0" applyNumberFormat="1" applyFill="1" applyBorder="1" applyAlignment="1" applyProtection="1">
      <alignment horizontal="center" vertical="top" wrapText="1"/>
      <protection locked="0"/>
    </xf>
    <xf numFmtId="49" fontId="0" fillId="4" borderId="86" xfId="0" applyNumberFormat="1" applyFill="1" applyBorder="1" applyAlignment="1" applyProtection="1">
      <alignment horizontal="center" vertical="top" wrapText="1"/>
      <protection locked="0"/>
    </xf>
    <xf numFmtId="0" fontId="0" fillId="0" borderId="24" xfId="0" applyBorder="1" applyAlignment="1" applyProtection="1">
      <alignment horizontal="justify" vertical="center" wrapText="1"/>
      <protection locked="0"/>
    </xf>
    <xf numFmtId="0" fontId="0" fillId="0" borderId="1" xfId="0" applyBorder="1" applyAlignment="1" applyProtection="1">
      <alignment horizontal="justify" vertical="center"/>
      <protection locked="0"/>
    </xf>
    <xf numFmtId="0" fontId="0" fillId="0" borderId="25" xfId="0" applyBorder="1" applyAlignment="1" applyProtection="1">
      <alignment horizontal="justify" vertical="center"/>
      <protection locked="0"/>
    </xf>
    <xf numFmtId="0" fontId="47" fillId="12" borderId="0" xfId="0" applyFont="1" applyFill="1" applyAlignment="1">
      <alignment horizontal="center" vertical="center" wrapText="1"/>
    </xf>
    <xf numFmtId="0" fontId="51" fillId="0" borderId="24" xfId="0" applyFont="1" applyBorder="1" applyAlignment="1" applyProtection="1">
      <alignment horizontal="justify" vertical="center" wrapText="1"/>
      <protection locked="0"/>
    </xf>
    <xf numFmtId="0" fontId="51" fillId="0" borderId="1" xfId="0" applyFont="1" applyBorder="1" applyAlignment="1" applyProtection="1">
      <alignment horizontal="justify" vertical="center"/>
      <protection locked="0"/>
    </xf>
    <xf numFmtId="0" fontId="51" fillId="0" borderId="25" xfId="0" applyFont="1" applyBorder="1" applyAlignment="1" applyProtection="1">
      <alignment horizontal="justify" vertical="center"/>
      <protection locked="0"/>
    </xf>
    <xf numFmtId="0" fontId="0" fillId="0" borderId="73" xfId="0" applyBorder="1" applyAlignment="1">
      <alignment horizontal="center"/>
    </xf>
    <xf numFmtId="0" fontId="0" fillId="0" borderId="1" xfId="0" applyBorder="1" applyAlignment="1">
      <alignment horizontal="center"/>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1393032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16</xdr:row>
      <xdr:rowOff>372789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ntiagom/Desktop/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54"/>
  <sheetViews>
    <sheetView zoomScale="120" zoomScaleNormal="120" workbookViewId="0">
      <selection activeCell="E26" sqref="E26"/>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42578125" style="42" customWidth="1"/>
    <col min="5" max="5" width="12.85546875" style="42" customWidth="1"/>
    <col min="6" max="6" width="47.140625" style="42" customWidth="1"/>
    <col min="7" max="7" width="21.42578125" style="42" customWidth="1"/>
    <col min="8" max="8" width="6.42578125" style="42" customWidth="1"/>
    <col min="9" max="9" width="2.42578125" style="42" customWidth="1"/>
    <col min="10" max="16384" width="11.42578125" style="42" hidden="1"/>
  </cols>
  <sheetData>
    <row r="1" spans="2:8" ht="13.5" thickBot="1" x14ac:dyDescent="0.25"/>
    <row r="2" spans="2:8" ht="73.5" customHeight="1" x14ac:dyDescent="0.2">
      <c r="B2" s="163" t="s">
        <v>0</v>
      </c>
      <c r="C2" s="164"/>
      <c r="D2" s="164"/>
      <c r="E2" s="164"/>
      <c r="F2" s="164"/>
      <c r="G2" s="164"/>
      <c r="H2" s="165"/>
    </row>
    <row r="3" spans="2:8" ht="65.25" customHeight="1" x14ac:dyDescent="0.2">
      <c r="B3" s="166" t="s">
        <v>1</v>
      </c>
      <c r="C3" s="167"/>
      <c r="D3" s="167"/>
      <c r="E3" s="167"/>
      <c r="F3" s="167"/>
      <c r="G3" s="167"/>
      <c r="H3" s="168"/>
    </row>
    <row r="4" spans="2:8" ht="82.5" customHeight="1" x14ac:dyDescent="0.2">
      <c r="B4" s="166"/>
      <c r="C4" s="167"/>
      <c r="D4" s="167"/>
      <c r="E4" s="167"/>
      <c r="F4" s="167"/>
      <c r="G4" s="167"/>
      <c r="H4" s="168"/>
    </row>
    <row r="5" spans="2:8" ht="21.75" customHeight="1" x14ac:dyDescent="0.2">
      <c r="B5" s="169" t="s">
        <v>2</v>
      </c>
      <c r="C5" s="170"/>
      <c r="D5" s="170"/>
      <c r="E5" s="170"/>
      <c r="F5" s="170"/>
      <c r="G5" s="170"/>
      <c r="H5" s="171"/>
    </row>
    <row r="6" spans="2:8" ht="42" customHeight="1" x14ac:dyDescent="0.2">
      <c r="B6" s="172" t="s">
        <v>3</v>
      </c>
      <c r="C6" s="173"/>
      <c r="D6" s="173"/>
      <c r="E6" s="173"/>
      <c r="F6" s="173"/>
      <c r="G6" s="173"/>
      <c r="H6" s="174"/>
    </row>
    <row r="7" spans="2:8" ht="14.25" customHeight="1" x14ac:dyDescent="0.2">
      <c r="B7" s="172"/>
      <c r="C7" s="173"/>
      <c r="D7" s="173"/>
      <c r="E7" s="173"/>
      <c r="F7" s="173"/>
      <c r="G7" s="173"/>
      <c r="H7" s="174"/>
    </row>
    <row r="8" spans="2:8" ht="12.75" customHeight="1" thickBot="1" x14ac:dyDescent="0.25">
      <c r="B8" s="54"/>
      <c r="C8" s="48"/>
      <c r="D8" s="63"/>
      <c r="E8" s="64"/>
      <c r="F8" s="64"/>
      <c r="G8" s="62"/>
      <c r="H8" s="56"/>
    </row>
    <row r="9" spans="2:8" ht="21" customHeight="1" thickTop="1" x14ac:dyDescent="0.2">
      <c r="B9" s="54"/>
      <c r="C9" s="175" t="s">
        <v>4</v>
      </c>
      <c r="D9" s="176"/>
      <c r="E9" s="177" t="s">
        <v>5</v>
      </c>
      <c r="F9" s="178"/>
      <c r="G9" s="48"/>
      <c r="H9" s="56"/>
    </row>
    <row r="10" spans="2:8" ht="37.5" customHeight="1" x14ac:dyDescent="0.2">
      <c r="B10" s="54"/>
      <c r="C10" s="179" t="s">
        <v>6</v>
      </c>
      <c r="D10" s="180"/>
      <c r="E10" s="181" t="s">
        <v>7</v>
      </c>
      <c r="F10" s="182"/>
      <c r="G10" s="48"/>
      <c r="H10" s="56"/>
    </row>
    <row r="11" spans="2:8" ht="39.75" customHeight="1" x14ac:dyDescent="0.2">
      <c r="B11" s="54"/>
      <c r="C11" s="183" t="s">
        <v>8</v>
      </c>
      <c r="D11" s="184"/>
      <c r="E11" s="185" t="s">
        <v>9</v>
      </c>
      <c r="F11" s="186"/>
      <c r="G11" s="48"/>
      <c r="H11" s="56"/>
    </row>
    <row r="12" spans="2:8" ht="59.25" customHeight="1" x14ac:dyDescent="0.2">
      <c r="B12" s="54"/>
      <c r="C12" s="183" t="s">
        <v>10</v>
      </c>
      <c r="D12" s="184"/>
      <c r="E12" s="187" t="s">
        <v>11</v>
      </c>
      <c r="F12" s="188"/>
      <c r="G12" s="48"/>
      <c r="H12" s="56"/>
    </row>
    <row r="13" spans="2:8" ht="33.75" customHeight="1" x14ac:dyDescent="0.2">
      <c r="B13" s="54"/>
      <c r="C13" s="193" t="s">
        <v>12</v>
      </c>
      <c r="D13" s="194"/>
      <c r="E13" s="185" t="s">
        <v>13</v>
      </c>
      <c r="F13" s="186"/>
      <c r="G13" s="48"/>
      <c r="H13" s="56"/>
    </row>
    <row r="14" spans="2:8" ht="19.5" customHeight="1" x14ac:dyDescent="0.2">
      <c r="B14" s="54"/>
      <c r="C14" s="60"/>
      <c r="D14" s="60"/>
      <c r="E14" s="61"/>
      <c r="F14" s="61"/>
      <c r="G14" s="48"/>
      <c r="H14" s="56"/>
    </row>
    <row r="15" spans="2:8" ht="37.5" customHeight="1" thickBot="1" x14ac:dyDescent="0.25">
      <c r="B15" s="189" t="s">
        <v>14</v>
      </c>
      <c r="C15" s="190"/>
      <c r="D15" s="190"/>
      <c r="E15" s="190"/>
      <c r="F15" s="190"/>
      <c r="G15" s="190"/>
      <c r="H15" s="191"/>
    </row>
    <row r="16" spans="2:8" ht="27.75" customHeight="1" thickBot="1" x14ac:dyDescent="0.25">
      <c r="B16" s="54"/>
      <c r="C16" s="195" t="s">
        <v>15</v>
      </c>
      <c r="D16" s="196"/>
      <c r="E16" s="196" t="s">
        <v>16</v>
      </c>
      <c r="F16" s="207"/>
      <c r="G16" s="48"/>
      <c r="H16" s="56"/>
    </row>
    <row r="17" spans="2:8" ht="27.75" customHeight="1" x14ac:dyDescent="0.2">
      <c r="B17" s="54"/>
      <c r="C17" s="208" t="s">
        <v>17</v>
      </c>
      <c r="D17" s="209"/>
      <c r="E17" s="210" t="s">
        <v>18</v>
      </c>
      <c r="F17" s="211"/>
      <c r="G17" s="85"/>
      <c r="H17" s="56"/>
    </row>
    <row r="18" spans="2:8" ht="41.25" customHeight="1" x14ac:dyDescent="0.2">
      <c r="B18" s="54"/>
      <c r="C18" s="197" t="s">
        <v>19</v>
      </c>
      <c r="D18" s="198"/>
      <c r="E18" s="199" t="s">
        <v>20</v>
      </c>
      <c r="F18" s="200"/>
      <c r="G18" s="86"/>
      <c r="H18" s="56"/>
    </row>
    <row r="19" spans="2:8" ht="37.5" customHeight="1" thickBot="1" x14ac:dyDescent="0.25">
      <c r="B19" s="54"/>
      <c r="C19" s="201" t="s">
        <v>21</v>
      </c>
      <c r="D19" s="202"/>
      <c r="E19" s="203" t="s">
        <v>22</v>
      </c>
      <c r="F19" s="204"/>
      <c r="G19" s="86"/>
      <c r="H19" s="56"/>
    </row>
    <row r="20" spans="2:8" ht="11.25" customHeight="1" x14ac:dyDescent="0.2">
      <c r="B20" s="49"/>
      <c r="C20" s="50"/>
      <c r="D20" s="50"/>
      <c r="E20" s="50"/>
      <c r="F20" s="50"/>
      <c r="G20" s="50"/>
      <c r="H20" s="51"/>
    </row>
    <row r="21" spans="2:8" ht="14.25" customHeight="1" x14ac:dyDescent="0.2">
      <c r="B21" s="52"/>
      <c r="C21" s="205"/>
      <c r="D21" s="205"/>
      <c r="E21" s="206"/>
      <c r="F21" s="206"/>
      <c r="G21" s="206"/>
      <c r="H21" s="53"/>
    </row>
    <row r="22" spans="2:8" ht="36" customHeight="1" x14ac:dyDescent="0.2">
      <c r="B22" s="189" t="s">
        <v>23</v>
      </c>
      <c r="C22" s="190"/>
      <c r="D22" s="190"/>
      <c r="E22" s="190"/>
      <c r="F22" s="190"/>
      <c r="G22" s="190"/>
      <c r="H22" s="191"/>
    </row>
    <row r="23" spans="2:8" ht="13.5" x14ac:dyDescent="0.2">
      <c r="B23" s="54"/>
      <c r="C23" s="55"/>
      <c r="D23" s="55"/>
      <c r="E23" s="192"/>
      <c r="F23" s="192"/>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 ref="C10:D10"/>
    <mergeCell ref="E10:F10"/>
    <mergeCell ref="C11:D11"/>
    <mergeCell ref="E11:F11"/>
    <mergeCell ref="C12:D12"/>
    <mergeCell ref="E12:F12"/>
    <mergeCell ref="B2:H2"/>
    <mergeCell ref="B3:H4"/>
    <mergeCell ref="B5:H5"/>
    <mergeCell ref="B6:H7"/>
    <mergeCell ref="C9:D9"/>
    <mergeCell ref="E9:F9"/>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F59"/>
  <sheetViews>
    <sheetView showGridLines="0" view="pageBreakPreview" topLeftCell="D48" zoomScale="80" zoomScaleNormal="80" zoomScaleSheetLayoutView="80" workbookViewId="0">
      <selection activeCell="H49" sqref="H49"/>
    </sheetView>
  </sheetViews>
  <sheetFormatPr baseColWidth="10" defaultColWidth="11.42578125" defaultRowHeight="16.5" x14ac:dyDescent="0.3"/>
  <cols>
    <col min="1" max="1" width="3" style="44" hidden="1" customWidth="1"/>
    <col min="2" max="2" width="9.42578125" style="44" customWidth="1"/>
    <col min="3" max="3" width="25.42578125" style="44" customWidth="1"/>
    <col min="4" max="4" width="46.42578125" style="44" customWidth="1"/>
    <col min="5" max="5" width="10.140625" style="66" customWidth="1"/>
    <col min="6" max="6" width="34.42578125" style="66" customWidth="1"/>
    <col min="7" max="7" width="15.42578125" style="44" customWidth="1"/>
    <col min="8" max="8" width="57.5703125" style="44" customWidth="1"/>
    <col min="9"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ht="17.25" thickBot="1" x14ac:dyDescent="0.35">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thickBot="1" x14ac:dyDescent="0.3">
      <c r="B14" s="248" t="s">
        <v>24</v>
      </c>
      <c r="C14" s="249"/>
      <c r="D14" s="249"/>
      <c r="E14" s="249"/>
      <c r="F14" s="249"/>
      <c r="G14" s="249"/>
      <c r="H14" s="249"/>
      <c r="I14" s="250"/>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134" t="s">
        <v>25</v>
      </c>
      <c r="C15" s="135" t="s">
        <v>6</v>
      </c>
      <c r="D15" s="136" t="s">
        <v>8</v>
      </c>
      <c r="E15" s="137" t="s">
        <v>26</v>
      </c>
      <c r="F15" s="137" t="s">
        <v>27</v>
      </c>
      <c r="G15" s="137" t="s">
        <v>28</v>
      </c>
      <c r="H15" s="138" t="s">
        <v>29</v>
      </c>
      <c r="I15" s="138"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115.5" customHeight="1" x14ac:dyDescent="0.25">
      <c r="A16" s="87" t="str">
        <f>1&amp;E16</f>
        <v>1a</v>
      </c>
      <c r="B16" s="260" t="s">
        <v>31</v>
      </c>
      <c r="C16" s="218" t="s">
        <v>32</v>
      </c>
      <c r="D16" s="257" t="s">
        <v>33</v>
      </c>
      <c r="E16" s="71" t="s">
        <v>34</v>
      </c>
      <c r="F16" s="119" t="s">
        <v>35</v>
      </c>
      <c r="G16" s="116" t="s">
        <v>39</v>
      </c>
      <c r="H16" s="123" t="s">
        <v>209</v>
      </c>
      <c r="I16" s="130" t="str">
        <f>+IF(G16="Si","Mantenimiento del control",IF(G16="En proceso","Oportunidad de mejora","Deficiencia de control"))</f>
        <v>Mantenimiento del control</v>
      </c>
      <c r="J16" s="88">
        <f t="shared" ref="J16:J27" si="0">+IF(G16="Si",20,IF(G16="En proceso",10,0))</f>
        <v>20</v>
      </c>
      <c r="K16" s="88">
        <v>0.123</v>
      </c>
      <c r="L16" s="88">
        <f>+J16+K16</f>
        <v>20.123000000000001</v>
      </c>
    </row>
    <row r="17" spans="1:32" s="46" customFormat="1" ht="112.5" customHeight="1" x14ac:dyDescent="0.25">
      <c r="A17" s="87" t="str">
        <f t="shared" ref="A17:A27" si="1">1&amp;E17</f>
        <v>1b</v>
      </c>
      <c r="B17" s="261"/>
      <c r="C17" s="219"/>
      <c r="D17" s="258"/>
      <c r="E17" s="72" t="s">
        <v>37</v>
      </c>
      <c r="F17" s="120" t="s">
        <v>38</v>
      </c>
      <c r="G17" s="117" t="s">
        <v>39</v>
      </c>
      <c r="H17" s="125" t="s">
        <v>205</v>
      </c>
      <c r="I17" s="133" t="str">
        <f t="shared" ref="I17:I59" si="2">+IF(G17="Si","Mantenimiento del control",IF(G17="En proceso","Oportunidad de mejora","Deficiencia de control"))</f>
        <v>Mantenimiento del control</v>
      </c>
      <c r="J17" s="89">
        <f t="shared" si="0"/>
        <v>20</v>
      </c>
      <c r="K17" s="88">
        <v>0.1234</v>
      </c>
      <c r="L17" s="88">
        <f t="shared" ref="L17:L59" si="3">+J17+K17</f>
        <v>20.1234</v>
      </c>
    </row>
    <row r="18" spans="1:32" s="46" customFormat="1" ht="105" customHeight="1" x14ac:dyDescent="0.25">
      <c r="A18" s="87" t="str">
        <f t="shared" si="1"/>
        <v>1c</v>
      </c>
      <c r="B18" s="261"/>
      <c r="C18" s="219"/>
      <c r="D18" s="258"/>
      <c r="E18" s="72" t="s">
        <v>40</v>
      </c>
      <c r="F18" s="121" t="s">
        <v>41</v>
      </c>
      <c r="G18" s="117" t="s">
        <v>39</v>
      </c>
      <c r="H18" s="126" t="s">
        <v>210</v>
      </c>
      <c r="I18" s="131" t="str">
        <f t="shared" si="2"/>
        <v>Mantenimiento del control</v>
      </c>
      <c r="J18" s="89">
        <f t="shared" si="0"/>
        <v>20</v>
      </c>
      <c r="K18" s="88">
        <v>0.12345</v>
      </c>
      <c r="L18" s="88">
        <f t="shared" si="3"/>
        <v>20.123449999999998</v>
      </c>
    </row>
    <row r="19" spans="1:32" s="46" customFormat="1" ht="84.75" customHeight="1" x14ac:dyDescent="0.25">
      <c r="A19" s="87" t="str">
        <f t="shared" si="1"/>
        <v>1d</v>
      </c>
      <c r="B19" s="261"/>
      <c r="C19" s="219"/>
      <c r="D19" s="258"/>
      <c r="E19" s="72" t="s">
        <v>42</v>
      </c>
      <c r="F19" s="121" t="s">
        <v>43</v>
      </c>
      <c r="G19" s="117" t="s">
        <v>39</v>
      </c>
      <c r="H19" s="126" t="s">
        <v>206</v>
      </c>
      <c r="I19" s="131" t="str">
        <f t="shared" si="2"/>
        <v>Mantenimiento del control</v>
      </c>
      <c r="J19" s="89">
        <f t="shared" si="0"/>
        <v>20</v>
      </c>
      <c r="K19" s="88">
        <v>0.123456</v>
      </c>
      <c r="L19" s="88">
        <f t="shared" si="3"/>
        <v>20.123456000000001</v>
      </c>
    </row>
    <row r="20" spans="1:32" s="46" customFormat="1" ht="87.75" customHeight="1" x14ac:dyDescent="0.25">
      <c r="A20" s="87" t="str">
        <f t="shared" si="1"/>
        <v>1e</v>
      </c>
      <c r="B20" s="261"/>
      <c r="C20" s="219"/>
      <c r="D20" s="258"/>
      <c r="E20" s="72" t="s">
        <v>44</v>
      </c>
      <c r="F20" s="121" t="s">
        <v>45</v>
      </c>
      <c r="G20" s="117" t="s">
        <v>39</v>
      </c>
      <c r="H20" s="126" t="s">
        <v>231</v>
      </c>
      <c r="I20" s="131" t="str">
        <f t="shared" si="2"/>
        <v>Mantenimiento del control</v>
      </c>
      <c r="J20" s="89">
        <f t="shared" si="0"/>
        <v>20</v>
      </c>
      <c r="K20" s="88">
        <v>0.12345678</v>
      </c>
      <c r="L20" s="88">
        <f t="shared" si="3"/>
        <v>20.123456780000001</v>
      </c>
    </row>
    <row r="21" spans="1:32" s="46" customFormat="1" ht="111.75" customHeight="1" x14ac:dyDescent="0.25">
      <c r="A21" s="87" t="str">
        <f t="shared" si="1"/>
        <v>1f</v>
      </c>
      <c r="B21" s="261"/>
      <c r="C21" s="219"/>
      <c r="D21" s="258"/>
      <c r="E21" s="72" t="s">
        <v>46</v>
      </c>
      <c r="F21" s="121" t="s">
        <v>47</v>
      </c>
      <c r="G21" s="117" t="s">
        <v>39</v>
      </c>
      <c r="H21" s="126" t="s">
        <v>232</v>
      </c>
      <c r="I21" s="131" t="str">
        <f t="shared" si="2"/>
        <v>Mantenimiento del control</v>
      </c>
      <c r="J21" s="89">
        <f t="shared" si="0"/>
        <v>20</v>
      </c>
      <c r="K21" s="88">
        <v>0.123456789</v>
      </c>
      <c r="L21" s="88">
        <f t="shared" si="3"/>
        <v>20.123456788999999</v>
      </c>
    </row>
    <row r="22" spans="1:32" s="46" customFormat="1" ht="115.5" customHeight="1" x14ac:dyDescent="0.25">
      <c r="A22" s="87" t="str">
        <f t="shared" si="1"/>
        <v>1g</v>
      </c>
      <c r="B22" s="261"/>
      <c r="C22" s="219"/>
      <c r="D22" s="258"/>
      <c r="E22" s="72" t="s">
        <v>48</v>
      </c>
      <c r="F22" s="121" t="s">
        <v>49</v>
      </c>
      <c r="G22" s="117" t="s">
        <v>39</v>
      </c>
      <c r="H22" s="126" t="s">
        <v>191</v>
      </c>
      <c r="I22" s="131" t="str">
        <f t="shared" si="2"/>
        <v>Mantenimiento del control</v>
      </c>
      <c r="J22" s="89">
        <f t="shared" si="0"/>
        <v>20</v>
      </c>
      <c r="K22" s="88">
        <v>0.12345678910000001</v>
      </c>
      <c r="L22" s="88">
        <f t="shared" si="3"/>
        <v>20.1234567891</v>
      </c>
    </row>
    <row r="23" spans="1:32" s="46" customFormat="1" ht="103.5" customHeight="1" x14ac:dyDescent="0.25">
      <c r="A23" s="87" t="str">
        <f t="shared" si="1"/>
        <v>1h</v>
      </c>
      <c r="B23" s="261"/>
      <c r="C23" s="219"/>
      <c r="D23" s="258"/>
      <c r="E23" s="72" t="s">
        <v>50</v>
      </c>
      <c r="F23" s="121" t="s">
        <v>51</v>
      </c>
      <c r="G23" s="117" t="s">
        <v>39</v>
      </c>
      <c r="H23" s="126" t="s">
        <v>211</v>
      </c>
      <c r="I23" s="131" t="str">
        <f t="shared" si="2"/>
        <v>Mantenimiento del control</v>
      </c>
      <c r="J23" s="89">
        <f t="shared" si="0"/>
        <v>20</v>
      </c>
      <c r="K23" s="88">
        <v>0.12345678911999999</v>
      </c>
      <c r="L23" s="88">
        <f t="shared" si="3"/>
        <v>20.123456789119999</v>
      </c>
    </row>
    <row r="24" spans="1:32" s="46" customFormat="1" ht="83.25" customHeight="1" x14ac:dyDescent="0.25">
      <c r="A24" s="87" t="str">
        <f t="shared" si="1"/>
        <v>1i</v>
      </c>
      <c r="B24" s="261"/>
      <c r="C24" s="219"/>
      <c r="D24" s="258"/>
      <c r="E24" s="72" t="s">
        <v>52</v>
      </c>
      <c r="F24" s="121" t="s">
        <v>53</v>
      </c>
      <c r="G24" s="117" t="s">
        <v>36</v>
      </c>
      <c r="H24" s="126" t="s">
        <v>192</v>
      </c>
      <c r="I24" s="131" t="str">
        <f t="shared" si="2"/>
        <v>Deficiencia de control</v>
      </c>
      <c r="J24" s="89">
        <f t="shared" si="0"/>
        <v>0</v>
      </c>
      <c r="K24" s="88">
        <v>0.123456789123</v>
      </c>
      <c r="L24" s="88">
        <f t="shared" si="3"/>
        <v>0.123456789123</v>
      </c>
    </row>
    <row r="25" spans="1:32" s="46" customFormat="1" ht="80.25" customHeight="1" x14ac:dyDescent="0.25">
      <c r="A25" s="87" t="str">
        <f t="shared" si="1"/>
        <v>1j</v>
      </c>
      <c r="B25" s="261"/>
      <c r="C25" s="219"/>
      <c r="D25" s="258"/>
      <c r="E25" s="72" t="s">
        <v>54</v>
      </c>
      <c r="F25" s="121" t="s">
        <v>55</v>
      </c>
      <c r="G25" s="117" t="s">
        <v>76</v>
      </c>
      <c r="H25" s="126" t="s">
        <v>212</v>
      </c>
      <c r="I25" s="131" t="str">
        <f t="shared" si="2"/>
        <v>Oportunidad de mejora</v>
      </c>
      <c r="J25" s="89">
        <f t="shared" si="0"/>
        <v>10</v>
      </c>
      <c r="K25" s="88">
        <v>0.1234567891234</v>
      </c>
      <c r="L25" s="88">
        <f t="shared" si="3"/>
        <v>10.1234567891234</v>
      </c>
    </row>
    <row r="26" spans="1:32" s="46" customFormat="1" ht="81.75" customHeight="1" x14ac:dyDescent="0.25">
      <c r="A26" s="87" t="str">
        <f t="shared" si="1"/>
        <v>1k</v>
      </c>
      <c r="B26" s="261"/>
      <c r="C26" s="219"/>
      <c r="D26" s="258"/>
      <c r="E26" s="72" t="s">
        <v>56</v>
      </c>
      <c r="F26" s="121" t="s">
        <v>57</v>
      </c>
      <c r="G26" s="117" t="s">
        <v>39</v>
      </c>
      <c r="H26" s="126" t="s">
        <v>213</v>
      </c>
      <c r="I26" s="131" t="str">
        <f t="shared" si="2"/>
        <v>Mantenimiento del control</v>
      </c>
      <c r="J26" s="89">
        <f t="shared" si="0"/>
        <v>20</v>
      </c>
      <c r="K26" s="88">
        <v>0.12345678912345</v>
      </c>
      <c r="L26" s="88">
        <f t="shared" si="3"/>
        <v>20.123456789123448</v>
      </c>
    </row>
    <row r="27" spans="1:32" s="46" customFormat="1" ht="66.75" customHeight="1" thickBot="1" x14ac:dyDescent="0.3">
      <c r="A27" s="87" t="str">
        <f t="shared" si="1"/>
        <v>1l</v>
      </c>
      <c r="B27" s="262"/>
      <c r="C27" s="220"/>
      <c r="D27" s="259"/>
      <c r="E27" s="73" t="s">
        <v>58</v>
      </c>
      <c r="F27" s="122" t="s">
        <v>59</v>
      </c>
      <c r="G27" s="118" t="s">
        <v>39</v>
      </c>
      <c r="H27" s="128" t="s">
        <v>214</v>
      </c>
      <c r="I27" s="132" t="str">
        <f t="shared" si="2"/>
        <v>Mantenimiento del control</v>
      </c>
      <c r="J27" s="89">
        <f t="shared" si="0"/>
        <v>20</v>
      </c>
      <c r="K27" s="88">
        <v>0.12345678912345601</v>
      </c>
      <c r="L27" s="88">
        <f t="shared" si="3"/>
        <v>20.123456789123455</v>
      </c>
    </row>
    <row r="28" spans="1:32" s="46" customFormat="1" ht="93.75" customHeight="1" thickBot="1" x14ac:dyDescent="0.3">
      <c r="A28" s="87" t="str">
        <f>2&amp;E28</f>
        <v>2a</v>
      </c>
      <c r="B28" s="263" t="s">
        <v>60</v>
      </c>
      <c r="C28" s="221" t="s">
        <v>61</v>
      </c>
      <c r="D28" s="239" t="s">
        <v>62</v>
      </c>
      <c r="E28" s="71" t="s">
        <v>34</v>
      </c>
      <c r="F28" s="119" t="s">
        <v>63</v>
      </c>
      <c r="G28" s="116" t="s">
        <v>39</v>
      </c>
      <c r="H28" s="123" t="s">
        <v>215</v>
      </c>
      <c r="I28" s="130" t="str">
        <f t="shared" si="2"/>
        <v>Mantenimiento del control</v>
      </c>
      <c r="J28" s="88">
        <f>+IF(G28="Si",40,IF(G28="En proceso",30,20))</f>
        <v>40</v>
      </c>
      <c r="K28" s="88">
        <v>0.23</v>
      </c>
      <c r="L28" s="88">
        <f t="shared" si="3"/>
        <v>40.229999999999997</v>
      </c>
    </row>
    <row r="29" spans="1:32" s="46" customFormat="1" ht="107.25" customHeight="1" x14ac:dyDescent="0.25">
      <c r="A29" s="87" t="str">
        <f t="shared" ref="A29:A31" si="4">2&amp;E29</f>
        <v>2b</v>
      </c>
      <c r="B29" s="264"/>
      <c r="C29" s="222"/>
      <c r="D29" s="240"/>
      <c r="E29" s="72" t="s">
        <v>37</v>
      </c>
      <c r="F29" s="121" t="s">
        <v>64</v>
      </c>
      <c r="G29" s="117" t="s">
        <v>39</v>
      </c>
      <c r="H29" s="123" t="s">
        <v>215</v>
      </c>
      <c r="I29" s="131" t="str">
        <f t="shared" si="2"/>
        <v>Mantenimiento del control</v>
      </c>
      <c r="J29" s="88">
        <f>+IF(G29="Si",40,IF(G29="En proceso",30,20))</f>
        <v>40</v>
      </c>
      <c r="K29" s="88">
        <v>0.23400000000000001</v>
      </c>
      <c r="L29" s="88">
        <f t="shared" si="3"/>
        <v>40.234000000000002</v>
      </c>
    </row>
    <row r="30" spans="1:32" s="46" customFormat="1" ht="78" customHeight="1" x14ac:dyDescent="0.25">
      <c r="A30" s="87" t="str">
        <f t="shared" si="4"/>
        <v>2c</v>
      </c>
      <c r="B30" s="264"/>
      <c r="C30" s="222"/>
      <c r="D30" s="240"/>
      <c r="E30" s="72" t="s">
        <v>40</v>
      </c>
      <c r="F30" s="121" t="s">
        <v>65</v>
      </c>
      <c r="G30" s="117" t="s">
        <v>39</v>
      </c>
      <c r="H30" s="126" t="s">
        <v>233</v>
      </c>
      <c r="I30" s="131" t="str">
        <f t="shared" si="2"/>
        <v>Mantenimiento del control</v>
      </c>
      <c r="J30" s="88">
        <f>+IF(G30="Si",40,IF(G30="En proceso",30,20))</f>
        <v>40</v>
      </c>
      <c r="K30" s="88">
        <v>0.23449999999999999</v>
      </c>
      <c r="L30" s="88">
        <f t="shared" si="3"/>
        <v>40.234499999999997</v>
      </c>
    </row>
    <row r="31" spans="1:32" s="46" customFormat="1" ht="63.75" thickBot="1" x14ac:dyDescent="0.3">
      <c r="A31" s="87" t="str">
        <f t="shared" si="4"/>
        <v>2d</v>
      </c>
      <c r="B31" s="265"/>
      <c r="C31" s="223"/>
      <c r="D31" s="241"/>
      <c r="E31" s="73" t="s">
        <v>42</v>
      </c>
      <c r="F31" s="122" t="s">
        <v>66</v>
      </c>
      <c r="G31" s="118" t="s">
        <v>39</v>
      </c>
      <c r="H31" s="128" t="s">
        <v>216</v>
      </c>
      <c r="I31" s="132" t="str">
        <f t="shared" si="2"/>
        <v>Mantenimiento del control</v>
      </c>
      <c r="J31" s="88">
        <f>+IF(G31="Si",40,IF(G31="En proceso",30,20))</f>
        <v>40</v>
      </c>
      <c r="K31" s="88">
        <v>0.23455999999999999</v>
      </c>
      <c r="L31" s="88">
        <f t="shared" si="3"/>
        <v>40.234560000000002</v>
      </c>
    </row>
    <row r="32" spans="1:32" s="46" customFormat="1" ht="120.75" customHeight="1" x14ac:dyDescent="0.25">
      <c r="A32" s="87" t="str">
        <f>3&amp;E32</f>
        <v>3a</v>
      </c>
      <c r="B32" s="237" t="s">
        <v>67</v>
      </c>
      <c r="C32" s="233" t="s">
        <v>61</v>
      </c>
      <c r="D32" s="234" t="s">
        <v>68</v>
      </c>
      <c r="E32" s="71" t="s">
        <v>34</v>
      </c>
      <c r="F32" s="119" t="s">
        <v>69</v>
      </c>
      <c r="G32" s="116" t="s">
        <v>76</v>
      </c>
      <c r="H32" s="123" t="s">
        <v>234</v>
      </c>
      <c r="I32" s="130" t="str">
        <f t="shared" si="2"/>
        <v>Oportunidad de mejora</v>
      </c>
      <c r="J32" s="88">
        <f t="shared" ref="J32:J37" si="5">+IF(G32="Si",40,IF(G32="En proceso",30,20))</f>
        <v>30</v>
      </c>
      <c r="K32" s="90">
        <v>0.234567</v>
      </c>
      <c r="L32" s="88">
        <f t="shared" ref="L32:L37" si="6">+J32+K32</f>
        <v>30.234566999999998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99.75" customHeight="1" x14ac:dyDescent="0.25">
      <c r="A33" s="87" t="str">
        <f t="shared" ref="A33:A34" si="7">3&amp;E33</f>
        <v>3b</v>
      </c>
      <c r="B33" s="237"/>
      <c r="C33" s="233"/>
      <c r="D33" s="235"/>
      <c r="E33" s="72" t="s">
        <v>37</v>
      </c>
      <c r="F33" s="121" t="s">
        <v>70</v>
      </c>
      <c r="G33" s="117" t="s">
        <v>76</v>
      </c>
      <c r="H33" s="126" t="s">
        <v>195</v>
      </c>
      <c r="I33" s="131" t="str">
        <f t="shared" si="2"/>
        <v>Oportunidad de mejora</v>
      </c>
      <c r="J33" s="88">
        <f t="shared" si="5"/>
        <v>30</v>
      </c>
      <c r="K33" s="90">
        <v>0.23456779999999999</v>
      </c>
      <c r="L33" s="88">
        <f t="shared" si="6"/>
        <v>30.234567800000001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109.5" customHeight="1" thickBot="1" x14ac:dyDescent="0.3">
      <c r="A34" s="87" t="str">
        <f t="shared" si="7"/>
        <v>3c</v>
      </c>
      <c r="B34" s="237"/>
      <c r="C34" s="233"/>
      <c r="D34" s="236"/>
      <c r="E34" s="73" t="s">
        <v>40</v>
      </c>
      <c r="F34" s="122" t="s">
        <v>71</v>
      </c>
      <c r="G34" s="118" t="s">
        <v>76</v>
      </c>
      <c r="H34" s="128" t="s">
        <v>217</v>
      </c>
      <c r="I34" s="132" t="str">
        <f t="shared" si="2"/>
        <v>Oportunidad de mejora</v>
      </c>
      <c r="J34" s="88">
        <f t="shared" si="5"/>
        <v>30</v>
      </c>
      <c r="K34" s="90">
        <v>0.23456789</v>
      </c>
      <c r="L34" s="88">
        <f t="shared" si="6"/>
        <v>30.234567890000001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72" customHeight="1" x14ac:dyDescent="0.25">
      <c r="A35" s="87" t="str">
        <f>4&amp;E35</f>
        <v>4a</v>
      </c>
      <c r="B35" s="238" t="s">
        <v>72</v>
      </c>
      <c r="C35" s="222" t="s">
        <v>61</v>
      </c>
      <c r="D35" s="239" t="s">
        <v>73</v>
      </c>
      <c r="E35" s="71" t="s">
        <v>34</v>
      </c>
      <c r="F35" s="119" t="s">
        <v>74</v>
      </c>
      <c r="G35" s="116" t="s">
        <v>76</v>
      </c>
      <c r="H35" s="126" t="s">
        <v>218</v>
      </c>
      <c r="I35" s="130" t="str">
        <f t="shared" si="2"/>
        <v>Oportunidad de mejora</v>
      </c>
      <c r="J35" s="88">
        <f t="shared" si="5"/>
        <v>30</v>
      </c>
      <c r="K35" s="90">
        <v>0.23456789119999999</v>
      </c>
      <c r="L35" s="88">
        <f t="shared" si="6"/>
        <v>30.234567891200001</v>
      </c>
      <c r="M35" s="45"/>
      <c r="N35" s="45"/>
      <c r="O35" s="45"/>
      <c r="P35" s="45"/>
      <c r="Q35" s="45"/>
    </row>
    <row r="36" spans="1:32" s="46" customFormat="1" ht="79.5" customHeight="1" x14ac:dyDescent="0.25">
      <c r="A36" s="87" t="str">
        <f t="shared" ref="A36:A37" si="8">4&amp;E36</f>
        <v>4b</v>
      </c>
      <c r="B36" s="238"/>
      <c r="C36" s="222"/>
      <c r="D36" s="240"/>
      <c r="E36" s="72" t="s">
        <v>37</v>
      </c>
      <c r="F36" s="121" t="s">
        <v>75</v>
      </c>
      <c r="G36" s="117" t="s">
        <v>76</v>
      </c>
      <c r="H36" s="126" t="s">
        <v>219</v>
      </c>
      <c r="I36" s="131" t="str">
        <f t="shared" si="2"/>
        <v>Oportunidad de mejora</v>
      </c>
      <c r="J36" s="88">
        <f t="shared" si="5"/>
        <v>30</v>
      </c>
      <c r="K36" s="90">
        <v>0.23456789122999999</v>
      </c>
      <c r="L36" s="88">
        <f t="shared" si="6"/>
        <v>30.23456789123</v>
      </c>
      <c r="M36" s="45"/>
      <c r="N36" s="45"/>
      <c r="O36" s="45"/>
      <c r="P36" s="45"/>
      <c r="Q36" s="45"/>
    </row>
    <row r="37" spans="1:32" s="46" customFormat="1" ht="49.5" customHeight="1" thickBot="1" x14ac:dyDescent="0.3">
      <c r="A37" s="87" t="str">
        <f t="shared" si="8"/>
        <v>4c</v>
      </c>
      <c r="B37" s="238"/>
      <c r="C37" s="222"/>
      <c r="D37" s="241"/>
      <c r="E37" s="73" t="s">
        <v>40</v>
      </c>
      <c r="F37" s="122" t="s">
        <v>77</v>
      </c>
      <c r="G37" s="118" t="s">
        <v>76</v>
      </c>
      <c r="H37" s="128" t="s">
        <v>220</v>
      </c>
      <c r="I37" s="132" t="str">
        <f t="shared" si="2"/>
        <v>Oportunidad de mejora</v>
      </c>
      <c r="J37" s="88">
        <f t="shared" si="5"/>
        <v>30</v>
      </c>
      <c r="K37" s="90">
        <v>0.23456789123399999</v>
      </c>
      <c r="L37" s="88">
        <f t="shared" si="6"/>
        <v>30.234567891234001</v>
      </c>
      <c r="M37" s="45"/>
      <c r="N37" s="45"/>
      <c r="O37" s="45"/>
      <c r="P37" s="45"/>
      <c r="Q37" s="45"/>
    </row>
    <row r="38" spans="1:32" s="46" customFormat="1" ht="132" customHeight="1" x14ac:dyDescent="0.25">
      <c r="A38" s="87" t="str">
        <f>5&amp;E38</f>
        <v>5a</v>
      </c>
      <c r="B38" s="242" t="s">
        <v>78</v>
      </c>
      <c r="C38" s="224" t="s">
        <v>79</v>
      </c>
      <c r="D38" s="245" t="s">
        <v>80</v>
      </c>
      <c r="E38" s="71" t="s">
        <v>34</v>
      </c>
      <c r="F38" s="119" t="s">
        <v>81</v>
      </c>
      <c r="G38" s="116" t="s">
        <v>39</v>
      </c>
      <c r="H38" s="162" t="s">
        <v>196</v>
      </c>
      <c r="I38" s="124" t="str">
        <f t="shared" si="2"/>
        <v>Mantenimiento del control</v>
      </c>
      <c r="J38" s="88">
        <f>+IF(G38="Si",60,IF(G38="En proceso",50,40))</f>
        <v>60</v>
      </c>
      <c r="K38" s="88">
        <v>0.31</v>
      </c>
      <c r="L38" s="88">
        <f t="shared" si="3"/>
        <v>60.31</v>
      </c>
    </row>
    <row r="39" spans="1:32" s="46" customFormat="1" ht="105.75" customHeight="1" x14ac:dyDescent="0.25">
      <c r="A39" s="87" t="str">
        <f t="shared" ref="A39:A42" si="9">5&amp;E39</f>
        <v>5b</v>
      </c>
      <c r="B39" s="243"/>
      <c r="C39" s="225"/>
      <c r="D39" s="246"/>
      <c r="E39" s="72" t="s">
        <v>37</v>
      </c>
      <c r="F39" s="121" t="s">
        <v>82</v>
      </c>
      <c r="G39" s="117" t="s">
        <v>76</v>
      </c>
      <c r="H39" s="126" t="s">
        <v>221</v>
      </c>
      <c r="I39" s="127" t="str">
        <f t="shared" si="2"/>
        <v>Oportunidad de mejora</v>
      </c>
      <c r="J39" s="88">
        <f>+IF(G39="Si",60,IF(G39="En proceso",50,40))</f>
        <v>50</v>
      </c>
      <c r="K39" s="88">
        <v>0.32300000000000001</v>
      </c>
      <c r="L39" s="88">
        <f t="shared" si="3"/>
        <v>50.323</v>
      </c>
    </row>
    <row r="40" spans="1:32" s="46" customFormat="1" ht="152.25" customHeight="1" x14ac:dyDescent="0.25">
      <c r="A40" s="87" t="str">
        <f t="shared" si="9"/>
        <v>5c</v>
      </c>
      <c r="B40" s="243"/>
      <c r="C40" s="225"/>
      <c r="D40" s="246"/>
      <c r="E40" s="72" t="s">
        <v>40</v>
      </c>
      <c r="F40" s="121" t="s">
        <v>83</v>
      </c>
      <c r="G40" s="117" t="s">
        <v>76</v>
      </c>
      <c r="H40" s="126" t="s">
        <v>197</v>
      </c>
      <c r="I40" s="127" t="str">
        <f t="shared" si="2"/>
        <v>Oportunidad de mejora</v>
      </c>
      <c r="J40" s="88">
        <f>+IF(G40="Si",60,IF(G40="En proceso",50,40))</f>
        <v>50</v>
      </c>
      <c r="K40" s="88">
        <v>0.32400000000000001</v>
      </c>
      <c r="L40" s="88">
        <f t="shared" si="3"/>
        <v>50.323999999999998</v>
      </c>
    </row>
    <row r="41" spans="1:32" s="46" customFormat="1" ht="174" customHeight="1" x14ac:dyDescent="0.25">
      <c r="A41" s="87" t="str">
        <f t="shared" si="9"/>
        <v>5d</v>
      </c>
      <c r="B41" s="243"/>
      <c r="C41" s="225"/>
      <c r="D41" s="246"/>
      <c r="E41" s="72" t="s">
        <v>42</v>
      </c>
      <c r="F41" s="121" t="s">
        <v>84</v>
      </c>
      <c r="G41" s="117" t="s">
        <v>39</v>
      </c>
      <c r="H41" s="126" t="s">
        <v>222</v>
      </c>
      <c r="I41" s="127" t="str">
        <f t="shared" si="2"/>
        <v>Mantenimiento del control</v>
      </c>
      <c r="J41" s="88">
        <f>+IF(G41="Si",60,IF(G41="En proceso",50,40))</f>
        <v>60</v>
      </c>
      <c r="K41" s="88">
        <v>0.32500000000000001</v>
      </c>
      <c r="L41" s="88">
        <f t="shared" si="3"/>
        <v>60.325000000000003</v>
      </c>
    </row>
    <row r="42" spans="1:32" s="46" customFormat="1" ht="131.25" customHeight="1" thickBot="1" x14ac:dyDescent="0.3">
      <c r="A42" s="87" t="str">
        <f t="shared" si="9"/>
        <v>5e</v>
      </c>
      <c r="B42" s="244"/>
      <c r="C42" s="226"/>
      <c r="D42" s="247"/>
      <c r="E42" s="73" t="s">
        <v>44</v>
      </c>
      <c r="F42" s="122" t="s">
        <v>85</v>
      </c>
      <c r="G42" s="118" t="s">
        <v>39</v>
      </c>
      <c r="H42" s="126" t="s">
        <v>223</v>
      </c>
      <c r="I42" s="129" t="str">
        <f t="shared" si="2"/>
        <v>Mantenimiento del control</v>
      </c>
      <c r="J42" s="88">
        <f>+IF(G42="Si",60,IF(G42="En proceso",50,40))</f>
        <v>60</v>
      </c>
      <c r="K42" s="88">
        <v>0.32600000000000001</v>
      </c>
      <c r="L42" s="88">
        <f t="shared" si="3"/>
        <v>60.326000000000001</v>
      </c>
    </row>
    <row r="43" spans="1:32" s="46" customFormat="1" ht="78" customHeight="1" x14ac:dyDescent="0.25">
      <c r="A43" s="87" t="str">
        <f>6&amp;E43</f>
        <v>6a</v>
      </c>
      <c r="B43" s="254" t="s">
        <v>86</v>
      </c>
      <c r="C43" s="227" t="s">
        <v>87</v>
      </c>
      <c r="D43" s="251" t="s">
        <v>88</v>
      </c>
      <c r="E43" s="71" t="s">
        <v>34</v>
      </c>
      <c r="F43" s="119" t="s">
        <v>89</v>
      </c>
      <c r="G43" s="116" t="s">
        <v>39</v>
      </c>
      <c r="H43" s="157" t="s">
        <v>198</v>
      </c>
      <c r="I43" s="124" t="str">
        <f t="shared" si="2"/>
        <v>Mantenimiento del control</v>
      </c>
      <c r="J43" s="88">
        <f t="shared" ref="J43:J49" si="10">+IF(G43="Si",80,IF(G43="En proceso",70,60))</f>
        <v>80</v>
      </c>
      <c r="K43" s="88">
        <v>0.41199999999999998</v>
      </c>
      <c r="L43" s="88">
        <f t="shared" si="3"/>
        <v>80.412000000000006</v>
      </c>
    </row>
    <row r="44" spans="1:32" s="46" customFormat="1" ht="77.25" customHeight="1" x14ac:dyDescent="0.25">
      <c r="A44" s="87" t="str">
        <f t="shared" ref="A44:A49" si="11">6&amp;E44</f>
        <v>6b</v>
      </c>
      <c r="B44" s="255"/>
      <c r="C44" s="228"/>
      <c r="D44" s="252"/>
      <c r="E44" s="72" t="s">
        <v>37</v>
      </c>
      <c r="F44" s="121" t="s">
        <v>90</v>
      </c>
      <c r="G44" s="117" t="s">
        <v>39</v>
      </c>
      <c r="H44" s="126" t="s">
        <v>235</v>
      </c>
      <c r="I44" s="127" t="str">
        <f t="shared" si="2"/>
        <v>Mantenimiento del control</v>
      </c>
      <c r="J44" s="88">
        <f t="shared" si="10"/>
        <v>80</v>
      </c>
      <c r="K44" s="88">
        <v>0.4123</v>
      </c>
      <c r="L44" s="88">
        <f t="shared" si="3"/>
        <v>80.412300000000002</v>
      </c>
    </row>
    <row r="45" spans="1:32" s="46" customFormat="1" ht="99.75" customHeight="1" x14ac:dyDescent="0.25">
      <c r="A45" s="87" t="str">
        <f t="shared" si="11"/>
        <v>6c</v>
      </c>
      <c r="B45" s="255"/>
      <c r="C45" s="228"/>
      <c r="D45" s="252"/>
      <c r="E45" s="72" t="s">
        <v>40</v>
      </c>
      <c r="F45" s="121" t="s">
        <v>91</v>
      </c>
      <c r="G45" s="117" t="s">
        <v>76</v>
      </c>
      <c r="H45" s="139" t="s">
        <v>236</v>
      </c>
      <c r="I45" s="127" t="str">
        <f t="shared" si="2"/>
        <v>Oportunidad de mejora</v>
      </c>
      <c r="J45" s="88">
        <f t="shared" si="10"/>
        <v>70</v>
      </c>
      <c r="K45" s="88">
        <v>0.41233999999999998</v>
      </c>
      <c r="L45" s="88">
        <f t="shared" si="3"/>
        <v>70.41234</v>
      </c>
    </row>
    <row r="46" spans="1:32" s="46" customFormat="1" ht="47.25" x14ac:dyDescent="0.25">
      <c r="A46" s="87" t="str">
        <f t="shared" si="11"/>
        <v>6d</v>
      </c>
      <c r="B46" s="255"/>
      <c r="C46" s="228"/>
      <c r="D46" s="252"/>
      <c r="E46" s="72" t="s">
        <v>42</v>
      </c>
      <c r="F46" s="121" t="s">
        <v>92</v>
      </c>
      <c r="G46" s="117" t="s">
        <v>36</v>
      </c>
      <c r="H46" s="126" t="s">
        <v>193</v>
      </c>
      <c r="I46" s="127" t="str">
        <f t="shared" si="2"/>
        <v>Deficiencia de control</v>
      </c>
      <c r="J46" s="88">
        <f t="shared" si="10"/>
        <v>60</v>
      </c>
      <c r="K46" s="88">
        <v>0.41234500000000002</v>
      </c>
      <c r="L46" s="88">
        <f t="shared" si="3"/>
        <v>60.412345000000002</v>
      </c>
    </row>
    <row r="47" spans="1:32" s="46" customFormat="1" ht="78.75" x14ac:dyDescent="0.25">
      <c r="A47" s="87" t="str">
        <f t="shared" si="11"/>
        <v>6e</v>
      </c>
      <c r="B47" s="255"/>
      <c r="C47" s="228"/>
      <c r="D47" s="252"/>
      <c r="E47" s="72" t="s">
        <v>44</v>
      </c>
      <c r="F47" s="121" t="s">
        <v>93</v>
      </c>
      <c r="G47" s="117" t="s">
        <v>36</v>
      </c>
      <c r="H47" s="139" t="s">
        <v>199</v>
      </c>
      <c r="I47" s="127" t="str">
        <f t="shared" si="2"/>
        <v>Deficiencia de control</v>
      </c>
      <c r="J47" s="88">
        <f t="shared" si="10"/>
        <v>60</v>
      </c>
      <c r="K47" s="88">
        <v>0.41234559999999998</v>
      </c>
      <c r="L47" s="88">
        <f t="shared" si="3"/>
        <v>60.412345600000002</v>
      </c>
    </row>
    <row r="48" spans="1:32" s="46" customFormat="1" ht="96" customHeight="1" x14ac:dyDescent="0.25">
      <c r="A48" s="87" t="str">
        <f t="shared" si="11"/>
        <v>6f</v>
      </c>
      <c r="B48" s="255"/>
      <c r="C48" s="228"/>
      <c r="D48" s="252"/>
      <c r="E48" s="72" t="s">
        <v>46</v>
      </c>
      <c r="F48" s="121" t="s">
        <v>94</v>
      </c>
      <c r="G48" s="117" t="s">
        <v>39</v>
      </c>
      <c r="H48" s="126" t="s">
        <v>224</v>
      </c>
      <c r="I48" s="127" t="str">
        <f t="shared" si="2"/>
        <v>Mantenimiento del control</v>
      </c>
      <c r="J48" s="88">
        <f t="shared" si="10"/>
        <v>80</v>
      </c>
      <c r="K48" s="88">
        <v>0.41234567</v>
      </c>
      <c r="L48" s="88">
        <f t="shared" si="3"/>
        <v>80.412345669999993</v>
      </c>
    </row>
    <row r="49" spans="1:17" s="46" customFormat="1" ht="93.75" customHeight="1" thickBot="1" x14ac:dyDescent="0.3">
      <c r="A49" s="87" t="str">
        <f t="shared" si="11"/>
        <v>6g</v>
      </c>
      <c r="B49" s="256"/>
      <c r="C49" s="229"/>
      <c r="D49" s="253"/>
      <c r="E49" s="73" t="s">
        <v>48</v>
      </c>
      <c r="F49" s="122" t="s">
        <v>95</v>
      </c>
      <c r="G49" s="118" t="s">
        <v>39</v>
      </c>
      <c r="H49" s="128" t="s">
        <v>208</v>
      </c>
      <c r="I49" s="129" t="str">
        <f t="shared" si="2"/>
        <v>Mantenimiento del control</v>
      </c>
      <c r="J49" s="88">
        <f t="shared" si="10"/>
        <v>80</v>
      </c>
      <c r="K49" s="88">
        <v>0.41234567799999999</v>
      </c>
      <c r="L49" s="88">
        <f t="shared" si="3"/>
        <v>80.412345677999994</v>
      </c>
    </row>
    <row r="50" spans="1:17" s="46" customFormat="1" ht="85.5" customHeight="1" x14ac:dyDescent="0.25">
      <c r="A50" s="87" t="str">
        <f>7&amp;E50</f>
        <v>7a</v>
      </c>
      <c r="B50" s="215" t="s">
        <v>96</v>
      </c>
      <c r="C50" s="230" t="s">
        <v>97</v>
      </c>
      <c r="D50" s="212" t="s">
        <v>98</v>
      </c>
      <c r="E50" s="71" t="s">
        <v>34</v>
      </c>
      <c r="F50" s="119" t="s">
        <v>99</v>
      </c>
      <c r="G50" s="116" t="s">
        <v>39</v>
      </c>
      <c r="H50" s="123" t="s">
        <v>225</v>
      </c>
      <c r="I50" s="124" t="str">
        <f t="shared" si="2"/>
        <v>Mantenimiento del control</v>
      </c>
      <c r="J50" s="88">
        <f>+IF(G50="Si",120,IF(G50="En proceso",100,80))</f>
        <v>120</v>
      </c>
      <c r="K50" s="88">
        <v>0.85099999999999998</v>
      </c>
      <c r="L50" s="88">
        <f t="shared" si="3"/>
        <v>120.851</v>
      </c>
    </row>
    <row r="51" spans="1:17" s="46" customFormat="1" ht="126" x14ac:dyDescent="0.25">
      <c r="A51" s="87" t="str">
        <f t="shared" ref="A51:A53" si="12">7&amp;E51</f>
        <v>7d</v>
      </c>
      <c r="B51" s="216"/>
      <c r="C51" s="231"/>
      <c r="D51" s="213"/>
      <c r="E51" s="72" t="s">
        <v>42</v>
      </c>
      <c r="F51" s="121" t="s">
        <v>100</v>
      </c>
      <c r="G51" s="117" t="s">
        <v>39</v>
      </c>
      <c r="H51" s="139" t="s">
        <v>200</v>
      </c>
      <c r="I51" s="127" t="str">
        <f t="shared" si="2"/>
        <v>Mantenimiento del control</v>
      </c>
      <c r="J51" s="88">
        <f t="shared" ref="J51:J59" si="13">+IF(G51="Si",120,IF(G51="En proceso",100,80))</f>
        <v>120</v>
      </c>
      <c r="K51" s="88">
        <v>0.85119999999999996</v>
      </c>
      <c r="L51" s="88">
        <f t="shared" si="3"/>
        <v>120.85120000000001</v>
      </c>
    </row>
    <row r="52" spans="1:17" s="46" customFormat="1" ht="90.75" customHeight="1" x14ac:dyDescent="0.25">
      <c r="A52" s="87" t="str">
        <f t="shared" si="12"/>
        <v>7f</v>
      </c>
      <c r="B52" s="216"/>
      <c r="C52" s="231"/>
      <c r="D52" s="213"/>
      <c r="E52" s="72" t="s">
        <v>46</v>
      </c>
      <c r="F52" s="121" t="s">
        <v>101</v>
      </c>
      <c r="G52" s="117" t="s">
        <v>39</v>
      </c>
      <c r="H52" s="126" t="s">
        <v>237</v>
      </c>
      <c r="I52" s="127" t="str">
        <f t="shared" si="2"/>
        <v>Mantenimiento del control</v>
      </c>
      <c r="J52" s="88">
        <f t="shared" si="13"/>
        <v>120</v>
      </c>
      <c r="K52" s="88">
        <v>0.85123000000000004</v>
      </c>
      <c r="L52" s="88">
        <f t="shared" si="3"/>
        <v>120.85123</v>
      </c>
    </row>
    <row r="53" spans="1:17" s="46" customFormat="1" ht="81" customHeight="1" thickBot="1" x14ac:dyDescent="0.3">
      <c r="A53" s="87" t="str">
        <f t="shared" si="12"/>
        <v>7g</v>
      </c>
      <c r="B53" s="217"/>
      <c r="C53" s="232"/>
      <c r="D53" s="214"/>
      <c r="E53" s="73" t="s">
        <v>48</v>
      </c>
      <c r="F53" s="122" t="s">
        <v>102</v>
      </c>
      <c r="G53" s="118" t="s">
        <v>39</v>
      </c>
      <c r="H53" s="128" t="s">
        <v>238</v>
      </c>
      <c r="I53" s="129" t="str">
        <f t="shared" si="2"/>
        <v>Mantenimiento del control</v>
      </c>
      <c r="J53" s="88">
        <f t="shared" si="13"/>
        <v>120</v>
      </c>
      <c r="K53" s="88">
        <v>0.85123400000000005</v>
      </c>
      <c r="L53" s="88">
        <f t="shared" si="3"/>
        <v>120.85123400000001</v>
      </c>
    </row>
    <row r="54" spans="1:17" s="46" customFormat="1" ht="125.25" customHeight="1" thickBot="1" x14ac:dyDescent="0.3">
      <c r="A54" s="87" t="str">
        <f>8&amp;E54</f>
        <v>8h</v>
      </c>
      <c r="B54" s="114" t="s">
        <v>103</v>
      </c>
      <c r="C54" s="115" t="s">
        <v>97</v>
      </c>
      <c r="D54" s="70" t="s">
        <v>104</v>
      </c>
      <c r="E54" s="71" t="s">
        <v>50</v>
      </c>
      <c r="F54" s="119" t="s">
        <v>105</v>
      </c>
      <c r="G54" s="116" t="s">
        <v>36</v>
      </c>
      <c r="H54" s="123" t="s">
        <v>239</v>
      </c>
      <c r="I54" s="124" t="str">
        <f t="shared" si="2"/>
        <v>Deficiencia de control</v>
      </c>
      <c r="J54" s="88">
        <f t="shared" si="13"/>
        <v>80</v>
      </c>
      <c r="K54" s="88">
        <v>0.85123450000000001</v>
      </c>
      <c r="L54" s="88">
        <f t="shared" si="3"/>
        <v>80.851234500000004</v>
      </c>
    </row>
    <row r="55" spans="1:17" s="46" customFormat="1" ht="60.75" customHeight="1" x14ac:dyDescent="0.25">
      <c r="A55" s="87" t="str">
        <f>9&amp;E55</f>
        <v>9a</v>
      </c>
      <c r="B55" s="215" t="s">
        <v>106</v>
      </c>
      <c r="C55" s="230" t="s">
        <v>97</v>
      </c>
      <c r="D55" s="212" t="s">
        <v>107</v>
      </c>
      <c r="E55" s="71" t="s">
        <v>34</v>
      </c>
      <c r="F55" s="119" t="s">
        <v>108</v>
      </c>
      <c r="G55" s="116" t="s">
        <v>76</v>
      </c>
      <c r="H55" s="139" t="s">
        <v>202</v>
      </c>
      <c r="I55" s="130" t="str">
        <f t="shared" si="2"/>
        <v>Oportunidad de mejora</v>
      </c>
      <c r="J55" s="88">
        <f t="shared" si="13"/>
        <v>100</v>
      </c>
      <c r="K55" s="90">
        <v>0.85123455999999997</v>
      </c>
      <c r="L55" s="88">
        <f t="shared" si="3"/>
        <v>100.85123455999999</v>
      </c>
      <c r="M55" s="45"/>
      <c r="N55" s="45"/>
      <c r="O55" s="45"/>
      <c r="P55" s="45"/>
      <c r="Q55" s="45"/>
    </row>
    <row r="56" spans="1:17" s="46" customFormat="1" ht="55.5" customHeight="1" x14ac:dyDescent="0.25">
      <c r="A56" s="87" t="str">
        <f t="shared" ref="A56:A59" si="14">9&amp;E56</f>
        <v>9b</v>
      </c>
      <c r="B56" s="216"/>
      <c r="C56" s="231"/>
      <c r="D56" s="213"/>
      <c r="E56" s="72" t="s">
        <v>37</v>
      </c>
      <c r="F56" s="121" t="s">
        <v>109</v>
      </c>
      <c r="G56" s="117" t="s">
        <v>76</v>
      </c>
      <c r="H56" s="139" t="s">
        <v>201</v>
      </c>
      <c r="I56" s="131" t="str">
        <f t="shared" si="2"/>
        <v>Oportunidad de mejora</v>
      </c>
      <c r="J56" s="88">
        <f t="shared" si="13"/>
        <v>100</v>
      </c>
      <c r="K56" s="90">
        <v>0.851234567</v>
      </c>
      <c r="L56" s="88">
        <f t="shared" si="3"/>
        <v>100.85123456700001</v>
      </c>
      <c r="M56" s="45"/>
      <c r="N56" s="45"/>
      <c r="O56" s="45"/>
      <c r="P56" s="45"/>
      <c r="Q56" s="45"/>
    </row>
    <row r="57" spans="1:17" s="46" customFormat="1" ht="93.75" customHeight="1" x14ac:dyDescent="0.25">
      <c r="A57" s="87" t="str">
        <f t="shared" si="14"/>
        <v>9c</v>
      </c>
      <c r="B57" s="216"/>
      <c r="C57" s="231"/>
      <c r="D57" s="213"/>
      <c r="E57" s="72" t="s">
        <v>40</v>
      </c>
      <c r="F57" s="121" t="s">
        <v>110</v>
      </c>
      <c r="G57" s="117" t="s">
        <v>76</v>
      </c>
      <c r="H57" s="126" t="s">
        <v>203</v>
      </c>
      <c r="I57" s="131" t="str">
        <f t="shared" si="2"/>
        <v>Oportunidad de mejora</v>
      </c>
      <c r="J57" s="88">
        <f t="shared" si="13"/>
        <v>100</v>
      </c>
      <c r="K57" s="90">
        <v>0.85123456779999995</v>
      </c>
      <c r="L57" s="88">
        <f t="shared" si="3"/>
        <v>100.85123456780001</v>
      </c>
      <c r="M57" s="45"/>
      <c r="N57" s="45"/>
      <c r="O57" s="45"/>
      <c r="P57" s="45"/>
      <c r="Q57" s="45"/>
    </row>
    <row r="58" spans="1:17" s="46" customFormat="1" ht="75.75" customHeight="1" x14ac:dyDescent="0.25">
      <c r="A58" s="87" t="str">
        <f t="shared" si="14"/>
        <v>9d</v>
      </c>
      <c r="B58" s="216"/>
      <c r="C58" s="231"/>
      <c r="D58" s="213"/>
      <c r="E58" s="72" t="s">
        <v>42</v>
      </c>
      <c r="F58" s="121" t="s">
        <v>111</v>
      </c>
      <c r="G58" s="117" t="s">
        <v>76</v>
      </c>
      <c r="H58" s="126" t="s">
        <v>226</v>
      </c>
      <c r="I58" s="131" t="str">
        <f t="shared" si="2"/>
        <v>Oportunidad de mejora</v>
      </c>
      <c r="J58" s="88">
        <f t="shared" si="13"/>
        <v>100</v>
      </c>
      <c r="K58" s="90">
        <v>0.85123456788999996</v>
      </c>
      <c r="L58" s="88">
        <f t="shared" si="3"/>
        <v>100.85123456789</v>
      </c>
      <c r="M58" s="45"/>
      <c r="N58" s="45"/>
      <c r="O58" s="45"/>
      <c r="P58" s="45"/>
      <c r="Q58" s="45"/>
    </row>
    <row r="59" spans="1:17" s="46" customFormat="1" ht="77.25" customHeight="1" thickBot="1" x14ac:dyDescent="0.3">
      <c r="A59" s="87" t="str">
        <f t="shared" si="14"/>
        <v>9e</v>
      </c>
      <c r="B59" s="217"/>
      <c r="C59" s="232"/>
      <c r="D59" s="214"/>
      <c r="E59" s="73" t="s">
        <v>44</v>
      </c>
      <c r="F59" s="122" t="s">
        <v>112</v>
      </c>
      <c r="G59" s="118" t="s">
        <v>76</v>
      </c>
      <c r="H59" s="128" t="s">
        <v>204</v>
      </c>
      <c r="I59" s="132" t="str">
        <f t="shared" si="2"/>
        <v>Oportunidad de mejora</v>
      </c>
      <c r="J59" s="88">
        <f t="shared" si="13"/>
        <v>100</v>
      </c>
      <c r="K59" s="90">
        <v>0.85123456789100005</v>
      </c>
      <c r="L59" s="88">
        <f t="shared" si="3"/>
        <v>100.851234567891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B14:I14"/>
    <mergeCell ref="D43:D49"/>
    <mergeCell ref="B43:B49"/>
    <mergeCell ref="D50:D53"/>
    <mergeCell ref="B50:B53"/>
    <mergeCell ref="D16:D27"/>
    <mergeCell ref="B16:B27"/>
    <mergeCell ref="B28:B31"/>
    <mergeCell ref="D28:D31"/>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scale="37" orientation="portrait" r:id="rId1"/>
  <colBreaks count="1" manualBreakCount="1">
    <brk id="9"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C74"/>
  <sheetViews>
    <sheetView tabSelected="1" topLeftCell="D59" zoomScaleNormal="100" workbookViewId="0">
      <selection activeCell="F61" sqref="F61"/>
    </sheetView>
  </sheetViews>
  <sheetFormatPr baseColWidth="10" defaultColWidth="11.42578125" defaultRowHeight="15" x14ac:dyDescent="0.25"/>
  <cols>
    <col min="3" max="3" width="22.85546875" customWidth="1"/>
    <col min="4" max="4" width="22.42578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97" t="s">
        <v>113</v>
      </c>
      <c r="D7" s="298"/>
      <c r="E7" s="298"/>
      <c r="F7" s="298"/>
      <c r="G7" s="298"/>
      <c r="H7" s="298"/>
      <c r="I7" s="298"/>
      <c r="J7" s="298"/>
      <c r="K7" s="299"/>
    </row>
    <row r="8" spans="1:11" s="1" customFormat="1" ht="15.75" thickBot="1" x14ac:dyDescent="0.3">
      <c r="C8" s="36"/>
      <c r="D8" s="36"/>
      <c r="E8" s="37"/>
      <c r="F8" s="37"/>
      <c r="G8" s="37"/>
      <c r="H8" s="37"/>
      <c r="I8" s="47"/>
      <c r="J8" s="37"/>
      <c r="K8" s="37"/>
    </row>
    <row r="9" spans="1:11" ht="21" thickBot="1" x14ac:dyDescent="0.3">
      <c r="A9" s="1"/>
      <c r="B9" s="1"/>
      <c r="C9" s="195" t="s">
        <v>15</v>
      </c>
      <c r="D9" s="196"/>
      <c r="E9" s="196" t="s">
        <v>16</v>
      </c>
      <c r="F9" s="207"/>
      <c r="G9" s="37"/>
      <c r="H9" s="37"/>
      <c r="I9" s="47"/>
      <c r="J9" s="37"/>
      <c r="K9" s="37"/>
    </row>
    <row r="10" spans="1:11" ht="54" customHeight="1" x14ac:dyDescent="0.25">
      <c r="A10" s="1"/>
      <c r="B10" s="1"/>
      <c r="C10" s="208" t="s">
        <v>17</v>
      </c>
      <c r="D10" s="209"/>
      <c r="E10" s="210" t="s">
        <v>18</v>
      </c>
      <c r="F10" s="211"/>
      <c r="G10" s="38"/>
      <c r="H10" s="39">
        <v>1</v>
      </c>
      <c r="I10" s="47"/>
      <c r="J10" s="37"/>
      <c r="K10" s="37"/>
    </row>
    <row r="11" spans="1:11" ht="46.5" customHeight="1" x14ac:dyDescent="0.25">
      <c r="A11" s="1"/>
      <c r="B11" s="1"/>
      <c r="C11" s="197" t="s">
        <v>19</v>
      </c>
      <c r="D11" s="198"/>
      <c r="E11" s="199" t="s">
        <v>114</v>
      </c>
      <c r="F11" s="200"/>
      <c r="G11" s="40" t="s">
        <v>115</v>
      </c>
      <c r="H11" s="39">
        <v>0.75</v>
      </c>
      <c r="I11" s="47"/>
      <c r="J11" s="37"/>
      <c r="K11" s="37"/>
    </row>
    <row r="12" spans="1:11" ht="70.5" customHeight="1" thickBot="1" x14ac:dyDescent="0.3">
      <c r="A12" s="1"/>
      <c r="B12" s="1"/>
      <c r="C12" s="201" t="s">
        <v>21</v>
      </c>
      <c r="D12" s="202"/>
      <c r="E12" s="203" t="s">
        <v>116</v>
      </c>
      <c r="F12" s="204"/>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89" t="s">
        <v>117</v>
      </c>
      <c r="D17" s="291" t="s">
        <v>118</v>
      </c>
      <c r="E17" s="292"/>
      <c r="F17" s="293" t="s">
        <v>119</v>
      </c>
      <c r="G17" s="295" t="s">
        <v>120</v>
      </c>
      <c r="H17" s="35"/>
      <c r="I17" s="284" t="s">
        <v>121</v>
      </c>
      <c r="J17" s="284" t="s">
        <v>122</v>
      </c>
    </row>
    <row r="18" spans="1:10" ht="36" customHeight="1" thickBot="1" x14ac:dyDescent="0.3">
      <c r="A18" s="1"/>
      <c r="B18" s="1"/>
      <c r="C18" s="290"/>
      <c r="D18" s="91" t="s">
        <v>123</v>
      </c>
      <c r="E18" s="92" t="s">
        <v>27</v>
      </c>
      <c r="F18" s="294"/>
      <c r="G18" s="296"/>
      <c r="H18" s="35"/>
      <c r="I18" s="285"/>
      <c r="J18" s="285"/>
    </row>
    <row r="19" spans="1:10" ht="65.25" customHeight="1" x14ac:dyDescent="0.25">
      <c r="A19" s="1"/>
      <c r="B19" s="1"/>
      <c r="C19" s="93">
        <v>1</v>
      </c>
      <c r="D19" s="286" t="s">
        <v>32</v>
      </c>
      <c r="E19" s="145" t="str">
        <f>+IFERROR(INDEX(Hoja1!$E$2:$E$45,MATCH('Análisis Resultados'!C19,Hoja1!$H$2:$H$45,0)),"")</f>
        <v>Evaluación a los servidores públicos de acuerdo con el marco normativo que le rige</v>
      </c>
      <c r="F19" s="140" t="str">
        <f>+IFERROR(VLOOKUP(C19,Hoja1!$H$2:$I$45,2,0),"")</f>
        <v>No</v>
      </c>
      <c r="G19" s="150"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94">
        <f>+IF(F19="Si",1,IF(F19="En proceso",0.5,0))</f>
        <v>0</v>
      </c>
      <c r="J19" s="268">
        <f>+AVERAGE(I19:I30)</f>
        <v>0.875</v>
      </c>
    </row>
    <row r="20" spans="1:10" ht="38.25" x14ac:dyDescent="0.25">
      <c r="A20" s="1"/>
      <c r="B20" s="1"/>
      <c r="C20" s="93">
        <v>2</v>
      </c>
      <c r="D20" s="287"/>
      <c r="E20" s="146" t="str">
        <f>+IFERROR(INDEX(Hoja1!$E$2:$E$45,MATCH('Análisis Resultados'!C20,Hoja1!$H$2:$H$45,0)),"")</f>
        <v>Procesos de desvinculación de servidores de acuerdo con lo previsto en la Constitución Política y las leyes</v>
      </c>
      <c r="F20" s="141" t="str">
        <f>+IFERROR(VLOOKUP(C20,Hoja1!$H$2:$I$45,2,0),"")</f>
        <v>En proceso</v>
      </c>
      <c r="G20" s="151"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Se encuentra en proceso, pero requiere continuar con acciones dirigidas a contar con dicho aspecto de control.</v>
      </c>
      <c r="I20" s="95">
        <f t="shared" ref="I20:I62" si="1">+IF(F20="Si",1,IF(F20="En proceso",0.5,0))</f>
        <v>0.5</v>
      </c>
      <c r="J20" s="269"/>
    </row>
    <row r="21" spans="1:10" ht="38.25" x14ac:dyDescent="0.25">
      <c r="A21" s="1"/>
      <c r="B21" s="1"/>
      <c r="C21" s="93">
        <v>3</v>
      </c>
      <c r="D21" s="287"/>
      <c r="E21" s="146" t="str">
        <f>+IFERROR(INDEX(Hoja1!$E$2:$E$45,MATCH('Análisis Resultados'!C21,Hoja1!$H$2:$H$45,0)),"")</f>
        <v>Documento interno o adopción del MECI actualizado</v>
      </c>
      <c r="F21" s="141" t="str">
        <f>+IFERROR(VLOOKUP(C21,Hoja1!$H$2:$I$45,2,0),"")</f>
        <v>Si</v>
      </c>
      <c r="G21" s="151" t="str">
        <f t="shared" si="0"/>
        <v>Existe requerimiento pero se requiere actividades  dirigidas a su mantenimiento dentro del marco de las lineas de defensa.</v>
      </c>
      <c r="I21" s="95">
        <f t="shared" si="1"/>
        <v>1</v>
      </c>
      <c r="J21" s="269"/>
    </row>
    <row r="22" spans="1:10" ht="56.25" customHeight="1" x14ac:dyDescent="0.25">
      <c r="A22" s="1"/>
      <c r="B22" s="1"/>
      <c r="C22" s="93">
        <v>4</v>
      </c>
      <c r="D22" s="287"/>
      <c r="E22" s="146" t="str">
        <f>+IFERROR(INDEX(Hoja1!$E$2:$E$45,MATCH('Análisis Resultados'!C22,Hoja1!$H$2:$H$45,0)),"")</f>
        <v>Un documento tal como un código de ética, integridad u otro que formalice los estándares de conducta, los principios institucionales o los valores del servicio público</v>
      </c>
      <c r="F22" s="141" t="str">
        <f>+IFERROR(VLOOKUP(C22,Hoja1!$H$2:$I$45,2,0),"")</f>
        <v>Si</v>
      </c>
      <c r="G22" s="151" t="str">
        <f t="shared" si="0"/>
        <v>Existe requerimiento pero se requiere actividades  dirigidas a su mantenimiento dentro del marco de las lineas de defensa.</v>
      </c>
      <c r="I22" s="95">
        <f t="shared" si="1"/>
        <v>1</v>
      </c>
      <c r="J22" s="269"/>
    </row>
    <row r="23" spans="1:10" ht="49.5" x14ac:dyDescent="0.25">
      <c r="A23" s="1"/>
      <c r="B23" s="1"/>
      <c r="C23" s="93">
        <v>5</v>
      </c>
      <c r="D23" s="287"/>
      <c r="E23" s="146" t="str">
        <f>+IFERROR(INDEX(Hoja1!$E$2:$E$45,MATCH('Análisis Resultados'!C23,Hoja1!$H$2:$H$45,0)),"")</f>
        <v>Planes, programas y proyectos de acuerdo con las normas que rigen y atendiendo con su propósito fundamental institucional (misión)</v>
      </c>
      <c r="F23" s="141" t="str">
        <f>+IFERROR(VLOOKUP(C23,Hoja1!$H$2:$I$45,2,0),"")</f>
        <v>Si</v>
      </c>
      <c r="G23" s="151" t="str">
        <f t="shared" si="0"/>
        <v>Existe requerimiento pero se requiere actividades  dirigidas a su mantenimiento dentro del marco de las lineas de defensa.</v>
      </c>
      <c r="I23" s="95">
        <f t="shared" si="1"/>
        <v>1</v>
      </c>
      <c r="J23" s="269"/>
    </row>
    <row r="24" spans="1:10" ht="38.25" x14ac:dyDescent="0.25">
      <c r="A24" s="1"/>
      <c r="B24" s="1"/>
      <c r="C24" s="93">
        <v>6</v>
      </c>
      <c r="D24" s="287"/>
      <c r="E24" s="146" t="str">
        <f>+IFERROR(INDEX(Hoja1!$E$2:$E$45,MATCH('Análisis Resultados'!C24,Hoja1!$H$2:$H$45,0)),"")</f>
        <v>Una estructura organizacional formalizada (organigrama)</v>
      </c>
      <c r="F24" s="141" t="str">
        <f>+IFERROR(VLOOKUP(C24,Hoja1!$H$2:$I$45,2,0),"")</f>
        <v>Si</v>
      </c>
      <c r="G24" s="151" t="str">
        <f t="shared" si="0"/>
        <v>Existe requerimiento pero se requiere actividades  dirigidas a su mantenimiento dentro del marco de las lineas de defensa.</v>
      </c>
      <c r="I24" s="95">
        <f t="shared" si="1"/>
        <v>1</v>
      </c>
      <c r="J24" s="269"/>
    </row>
    <row r="25" spans="1:10" ht="38.25" x14ac:dyDescent="0.25">
      <c r="A25" s="1"/>
      <c r="B25" s="1"/>
      <c r="C25" s="93">
        <v>7</v>
      </c>
      <c r="D25" s="287"/>
      <c r="E25" s="146" t="str">
        <f>+IFERROR(INDEX(Hoja1!$E$2:$E$45,MATCH('Análisis Resultados'!C25,Hoja1!$H$2:$H$45,0)),"")</f>
        <v>Un manual de funciones que describa los empleos de la entidad</v>
      </c>
      <c r="F25" s="141" t="str">
        <f>+IFERROR(VLOOKUP(C25,Hoja1!$H$2:$I$45,2,0),"")</f>
        <v>Si</v>
      </c>
      <c r="G25" s="151" t="str">
        <f t="shared" si="0"/>
        <v>Existe requerimiento pero se requiere actividades  dirigidas a su mantenimiento dentro del marco de las lineas de defensa.</v>
      </c>
      <c r="I25" s="95">
        <f t="shared" si="1"/>
        <v>1</v>
      </c>
      <c r="J25" s="269"/>
    </row>
    <row r="26" spans="1:10" ht="49.5" x14ac:dyDescent="0.25">
      <c r="A26" s="1"/>
      <c r="B26" s="1"/>
      <c r="C26" s="93">
        <v>8</v>
      </c>
      <c r="D26" s="287"/>
      <c r="E26" s="146" t="str">
        <f>+IFERROR(INDEX(Hoja1!$E$2:$E$45,MATCH('Análisis Resultados'!C26,Hoja1!$H$2:$H$45,0)),"")</f>
        <v>La documentación de sus procesos y procedimientos o bien una lista de actividades principales que permitan conocer el estado de su gestión</v>
      </c>
      <c r="F26" s="141" t="str">
        <f>+IFERROR(VLOOKUP(C26,Hoja1!$H$2:$I$45,2,0),"")</f>
        <v>Si</v>
      </c>
      <c r="G26" s="151" t="str">
        <f t="shared" si="0"/>
        <v>Existe requerimiento pero se requiere actividades  dirigidas a su mantenimiento dentro del marco de las lineas de defensa.</v>
      </c>
      <c r="I26" s="95">
        <f t="shared" si="1"/>
        <v>1</v>
      </c>
      <c r="J26" s="269"/>
    </row>
    <row r="27" spans="1:10" ht="49.5" x14ac:dyDescent="0.25">
      <c r="A27" s="1"/>
      <c r="B27" s="1"/>
      <c r="C27" s="93">
        <v>9</v>
      </c>
      <c r="D27" s="287"/>
      <c r="E27" s="146" t="str">
        <f>+IFERROR(INDEX(Hoja1!$E$2:$E$45,MATCH('Análisis Resultados'!C27,Hoja1!$H$2:$H$45,0)),"")</f>
        <v>Vinculación de los servidores públicos de acuerdo con el marco normativo que les rige (carrera administrativa, libre nombramiento y remoción, entre otros)</v>
      </c>
      <c r="F27" s="141" t="str">
        <f>+IFERROR(VLOOKUP(C27,Hoja1!$H$2:$I$45,2,0),"")</f>
        <v>Si</v>
      </c>
      <c r="G27" s="151" t="str">
        <f t="shared" si="0"/>
        <v>Existe requerimiento pero se requiere actividades  dirigidas a su mantenimiento dentro del marco de las lineas de defensa.</v>
      </c>
      <c r="I27" s="95">
        <f t="shared" si="1"/>
        <v>1</v>
      </c>
      <c r="J27" s="269"/>
    </row>
    <row r="28" spans="1:10" ht="49.5" x14ac:dyDescent="0.25">
      <c r="A28" s="1"/>
      <c r="B28" s="1"/>
      <c r="C28" s="93">
        <v>10</v>
      </c>
      <c r="D28" s="287"/>
      <c r="E28" s="146" t="str">
        <f>+IFERROR(INDEX(Hoja1!$E$2:$E$45,MATCH('Análisis Resultados'!C28,Hoja1!$H$2:$H$45,0)),"")</f>
        <v>Procesos de inducción, capacitación y bienestar social para sus servidores públicos, de manera directa o en asociación con otras entidades municipales</v>
      </c>
      <c r="F28" s="141" t="str">
        <f>+IFERROR(VLOOKUP(C28,Hoja1!$H$2:$I$45,2,0),"")</f>
        <v>Si</v>
      </c>
      <c r="G28" s="151" t="str">
        <f t="shared" si="0"/>
        <v>Existe requerimiento pero se requiere actividades  dirigidas a su mantenimiento dentro del marco de las lineas de defensa.</v>
      </c>
      <c r="I28" s="95">
        <f t="shared" si="1"/>
        <v>1</v>
      </c>
      <c r="J28" s="269"/>
    </row>
    <row r="29" spans="1:10" ht="38.25" x14ac:dyDescent="0.25">
      <c r="A29" s="1"/>
      <c r="B29" s="1"/>
      <c r="C29" s="93">
        <v>11</v>
      </c>
      <c r="D29" s="287"/>
      <c r="E29" s="146" t="str">
        <f>+IFERROR(INDEX(Hoja1!$E$2:$E$45,MATCH('Análisis Resultados'!C29,Hoja1!$H$2:$H$45,0)),"")</f>
        <v>Mecanismos de rendición de cuentas a la ciudadanía</v>
      </c>
      <c r="F29" s="141" t="str">
        <f>+IFERROR(VLOOKUP(C29,Hoja1!$H$2:$I$45,2,0),"")</f>
        <v>Si</v>
      </c>
      <c r="G29" s="151"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95">
        <f t="shared" si="1"/>
        <v>1</v>
      </c>
      <c r="J29" s="269"/>
    </row>
    <row r="30" spans="1:10" ht="39" thickBot="1" x14ac:dyDescent="0.3">
      <c r="A30" s="1"/>
      <c r="B30" s="1"/>
      <c r="C30" s="93">
        <v>12</v>
      </c>
      <c r="D30" s="288"/>
      <c r="E30" s="147" t="str">
        <f>+IFERROR(INDEX(Hoja1!$E$2:$E$45,MATCH('Análisis Resultados'!C30,Hoja1!$H$2:$H$45,0)),"")</f>
        <v>Presentación oportuna de sus informes de gestión a las autoridades competentes</v>
      </c>
      <c r="F30" s="142" t="str">
        <f>+IFERROR(VLOOKUP(C30,Hoja1!$H$2:$I$45,2,0),"")</f>
        <v>Si</v>
      </c>
      <c r="G30" s="152" t="str">
        <f t="shared" si="0"/>
        <v>Existe requerimiento pero se requiere actividades  dirigidas a su mantenimiento dentro del marco de las lineas de defensa.</v>
      </c>
      <c r="I30" s="96">
        <f t="shared" si="1"/>
        <v>1</v>
      </c>
      <c r="J30" s="270"/>
    </row>
    <row r="31" spans="1:10" ht="45" customHeight="1" x14ac:dyDescent="0.25">
      <c r="A31" s="1"/>
      <c r="B31" s="1"/>
      <c r="C31" s="93">
        <v>13</v>
      </c>
      <c r="D31" s="282" t="s">
        <v>61</v>
      </c>
      <c r="E31" s="145" t="str">
        <f>+IFERROR(INDEX(Hoja1!$E$2:$E$45,MATCH('Análisis Resultados'!C31,Hoja1!$H$2:$H$45,0)),"")</f>
        <v>Hacen seguimiento a los problemas (riesgos)  que pueden afectar el cumplimiento de sus procesos, programas o proyectos a cargo</v>
      </c>
      <c r="F31" s="140" t="str">
        <f>+IFERROR(VLOOKUP(C31,Hoja1!$H$2:$I$45,2,0),"")</f>
        <v>En proceso</v>
      </c>
      <c r="G31" s="150" t="str">
        <f t="shared" si="0"/>
        <v>Se encuentra en proceso, pero requiere continuar con acciones dirigidas a contar con dicho aspecto de control.</v>
      </c>
      <c r="I31" s="94">
        <f t="shared" si="1"/>
        <v>0.5</v>
      </c>
      <c r="J31" s="266">
        <f>+AVERAGE(I31:I40)</f>
        <v>0.7</v>
      </c>
    </row>
    <row r="32" spans="1:10" ht="57" customHeight="1" x14ac:dyDescent="0.25">
      <c r="A32" s="1"/>
      <c r="B32" s="1"/>
      <c r="C32" s="93">
        <v>14</v>
      </c>
      <c r="D32" s="283"/>
      <c r="E32" s="146" t="str">
        <f>+IFERROR(INDEX(Hoja1!$E$2:$E$45,MATCH('Análisis Resultados'!C32,Hoja1!$H$2:$H$45,0)),"")</f>
        <v>Informan de manera periódica a quien corresponda sobre el desempeño de las actividades de gestión de riesgos</v>
      </c>
      <c r="F32" s="141" t="str">
        <f>+IFERROR(VLOOKUP(C32,Hoja1!$H$2:$I$45,2,0),"")</f>
        <v>En proceso</v>
      </c>
      <c r="G32" s="151" t="str">
        <f t="shared" si="0"/>
        <v>Se encuentra en proceso, pero requiere continuar con acciones dirigidas a contar con dicho aspecto de control.</v>
      </c>
      <c r="I32" s="95">
        <f t="shared" si="1"/>
        <v>0.5</v>
      </c>
      <c r="J32" s="267"/>
    </row>
    <row r="33" spans="1:10" ht="54" customHeight="1" x14ac:dyDescent="0.25">
      <c r="A33" s="1"/>
      <c r="B33" s="1"/>
      <c r="C33" s="93">
        <v>15</v>
      </c>
      <c r="D33" s="283"/>
      <c r="E33" s="146" t="str">
        <f>+IFERROR(INDEX(Hoja1!$E$2:$E$45,MATCH('Análisis Resultados'!C33,Hoja1!$H$2:$H$45,0)),"")</f>
        <v>Identifican deficiencias en las maneras de  controlar los riesgos o problemas en sus procesos, programas o proyectos, y propone los ajustes necesarios</v>
      </c>
      <c r="F33" s="141" t="str">
        <f>+IFERROR(VLOOKUP(C33,Hoja1!$H$2:$I$45,2,0),"")</f>
        <v>En proceso</v>
      </c>
      <c r="G33" s="151" t="str">
        <f t="shared" si="0"/>
        <v>Se encuentra en proceso, pero requiere continuar con acciones dirigidas a contar con dicho aspecto de control.</v>
      </c>
      <c r="I33" s="95">
        <f t="shared" si="1"/>
        <v>0.5</v>
      </c>
      <c r="J33" s="267"/>
    </row>
    <row r="34" spans="1:10" ht="38.25" x14ac:dyDescent="0.25">
      <c r="A34" s="1"/>
      <c r="B34" s="1"/>
      <c r="C34" s="93">
        <v>16</v>
      </c>
      <c r="D34" s="283"/>
      <c r="E34" s="146" t="str">
        <f>+IFERROR(INDEX(Hoja1!$E$2:$E$45,MATCH('Análisis Resultados'!C34,Hoja1!$H$2:$H$45,0)),"")</f>
        <v>Se definen espacios de reunión para conocerlos y proponer acciones para su solución</v>
      </c>
      <c r="F34" s="141" t="str">
        <f>+IFERROR(VLOOKUP(C34,Hoja1!$H$2:$I$45,2,0),"")</f>
        <v>En proceso</v>
      </c>
      <c r="G34" s="151" t="str">
        <f t="shared" si="0"/>
        <v>Se encuentra en proceso, pero requiere continuar con acciones dirigidas a contar con dicho aspecto de control.</v>
      </c>
      <c r="I34" s="95">
        <f t="shared" si="1"/>
        <v>0.5</v>
      </c>
      <c r="J34" s="267"/>
    </row>
    <row r="35" spans="1:10" ht="67.5" customHeight="1" x14ac:dyDescent="0.25">
      <c r="A35" s="1"/>
      <c r="B35" s="1"/>
      <c r="C35" s="93">
        <v>17</v>
      </c>
      <c r="D35" s="283"/>
      <c r="E35" s="146" t="str">
        <f>+IFERROR(INDEX(Hoja1!$E$2:$E$45,MATCH('Análisis Resultados'!C35,Hoja1!$H$2:$H$45,0)),"")</f>
        <v>Cada líder del equipo autónomamente toma las acciones para solucionarlos.</v>
      </c>
      <c r="F35" s="141" t="str">
        <f>+IFERROR(VLOOKUP(C35,Hoja1!$H$2:$I$45,2,0),"")</f>
        <v>En proceso</v>
      </c>
      <c r="G35" s="151" t="str">
        <f t="shared" si="0"/>
        <v>Se encuentra en proceso, pero requiere continuar con acciones dirigidas a contar con dicho aspecto de control.</v>
      </c>
      <c r="I35" s="95">
        <f t="shared" si="1"/>
        <v>0.5</v>
      </c>
      <c r="J35" s="267"/>
    </row>
    <row r="36" spans="1:10" ht="38.25" x14ac:dyDescent="0.25">
      <c r="A36" s="1"/>
      <c r="B36" s="1"/>
      <c r="C36" s="93">
        <v>18</v>
      </c>
      <c r="D36" s="283"/>
      <c r="E36" s="146" t="str">
        <f>+IFERROR(INDEX(Hoja1!$E$2:$E$45,MATCH('Análisis Resultados'!C36,Hoja1!$H$2:$H$45,0)),"")</f>
        <v>Solamente hasta que un organismo de control actúa se definen acciones de mejora.</v>
      </c>
      <c r="F36" s="141" t="str">
        <f>+IFERROR(VLOOKUP(C36,Hoja1!$H$2:$I$45,2,0),"")</f>
        <v>En proceso</v>
      </c>
      <c r="G36" s="151" t="str">
        <f t="shared" si="0"/>
        <v>Se encuentra en proceso, pero requiere continuar con acciones dirigidas a contar con dicho aspecto de control.</v>
      </c>
      <c r="I36" s="95">
        <f t="shared" si="1"/>
        <v>0.5</v>
      </c>
      <c r="J36" s="267"/>
    </row>
    <row r="37" spans="1:10" ht="57" customHeight="1" x14ac:dyDescent="0.25">
      <c r="A37" s="1"/>
      <c r="B37" s="1"/>
      <c r="C37" s="93">
        <v>19</v>
      </c>
      <c r="D37" s="283"/>
      <c r="E37" s="146" t="str">
        <f>+IFERROR(INDEX(Hoja1!$E$2:$E$45,MATCH('Análisis Resultados'!C37,Hoja1!$H$2:$H$45,0)),"")</f>
        <v>La identificación de cambios en su entorno que pueden generar consecuencias negativas en su gestión</v>
      </c>
      <c r="F37" s="141" t="str">
        <f>+IFERROR(VLOOKUP(C37,Hoja1!$H$2:$I$45,2,0),"")</f>
        <v>Si</v>
      </c>
      <c r="G37" s="151" t="str">
        <f t="shared" si="0"/>
        <v>Existe requerimiento pero se requiere actividades  dirigidas a su mantenimiento dentro del marco de las lineas de defensa.</v>
      </c>
      <c r="I37" s="95">
        <f t="shared" si="1"/>
        <v>1</v>
      </c>
      <c r="J37" s="267"/>
    </row>
    <row r="38" spans="1:10" ht="49.5" x14ac:dyDescent="0.25">
      <c r="A38" s="1"/>
      <c r="B38" s="1"/>
      <c r="C38" s="93">
        <v>20</v>
      </c>
      <c r="D38" s="283"/>
      <c r="E38" s="146" t="str">
        <f>+IFERROR(INDEX(Hoja1!$E$2:$E$45,MATCH('Análisis Resultados'!C38,Hoja1!$H$2:$H$45,0)),"")</f>
        <v>La identificación de aquellos problemas o aspectos que pueden afectar el cumplimiento de los planes de la entidad y en general su gestión institucional (riesgos)</v>
      </c>
      <c r="F38" s="141" t="str">
        <f>+IFERROR(VLOOKUP(C38,Hoja1!$H$2:$I$45,2,0),"")</f>
        <v>Si</v>
      </c>
      <c r="G38" s="151" t="str">
        <f t="shared" si="0"/>
        <v>Existe requerimiento pero se requiere actividades  dirigidas a su mantenimiento dentro del marco de las lineas de defensa.</v>
      </c>
      <c r="I38" s="95">
        <f t="shared" si="1"/>
        <v>1</v>
      </c>
      <c r="J38" s="267"/>
    </row>
    <row r="39" spans="1:10" ht="38.25" x14ac:dyDescent="0.25">
      <c r="A39" s="1"/>
      <c r="B39" s="1"/>
      <c r="C39" s="93">
        <v>21</v>
      </c>
      <c r="D39" s="283"/>
      <c r="E39" s="146" t="str">
        <f>+IFERROR(INDEX(Hoja1!$E$2:$E$45,MATCH('Análisis Resultados'!C39,Hoja1!$H$2:$H$45,0)),"")</f>
        <v>La identificación  de los riesgos relacionados con posibles actos de corrupción en el ejercicio de sus funciones</v>
      </c>
      <c r="F39" s="141" t="str">
        <f>+IFERROR(VLOOKUP(C39,Hoja1!$H$2:$I$45,2,0),"")</f>
        <v>Si</v>
      </c>
      <c r="G39" s="151" t="str">
        <f t="shared" si="0"/>
        <v>Existe requerimiento pero se requiere actividades  dirigidas a su mantenimiento dentro del marco de las lineas de defensa.</v>
      </c>
      <c r="I39" s="95">
        <f t="shared" si="1"/>
        <v>1</v>
      </c>
      <c r="J39" s="267"/>
    </row>
    <row r="40" spans="1:10" ht="50.25" thickBot="1" x14ac:dyDescent="0.3">
      <c r="A40" s="1"/>
      <c r="B40" s="1"/>
      <c r="C40" s="93">
        <v>22</v>
      </c>
      <c r="D40" s="283"/>
      <c r="E40" s="148" t="str">
        <f>+IFERROR(INDEX(Hoja1!$E$2:$E$45,MATCH('Análisis Resultados'!C40,Hoja1!$H$2:$H$45,0)),"")</f>
        <v>Si su capacidad e infraestructura lo permite, identificación de riesgos asociados a las tecnologías de la información y las comunicaciones</v>
      </c>
      <c r="F40" s="143" t="str">
        <f>+IFERROR(VLOOKUP(C40,Hoja1!$H$2:$I$45,2,0),"")</f>
        <v>Si</v>
      </c>
      <c r="G40" s="153" t="str">
        <f t="shared" si="0"/>
        <v>Existe requerimiento pero se requiere actividades  dirigidas a su mantenimiento dentro del marco de las lineas de defensa.</v>
      </c>
      <c r="I40" s="97">
        <f t="shared" si="1"/>
        <v>1</v>
      </c>
      <c r="J40" s="267"/>
    </row>
    <row r="41" spans="1:10" ht="87.75" customHeight="1" x14ac:dyDescent="0.25">
      <c r="A41" s="1"/>
      <c r="B41" s="1"/>
      <c r="C41" s="93">
        <v>23</v>
      </c>
      <c r="D41" s="278" t="s">
        <v>79</v>
      </c>
      <c r="E41" s="145" t="str">
        <f>+IFERROR(INDEX(Hoja1!$E$2:$E$45,MATCH('Análisis Resultados'!C41,Hoja1!$H$2:$H$45,0)),"")</f>
        <v>Mecanismos de verificación de si se están o no mitigando los riesgos, o en su defecto, elaboración de planes de contingencia para subsanar sus consecuencias</v>
      </c>
      <c r="F41" s="140" t="str">
        <f>+IFERROR(VLOOKUP(C41,Hoja1!$H$2:$I$45,2,0),"")</f>
        <v>En proceso</v>
      </c>
      <c r="G41" s="150" t="str">
        <f t="shared" si="0"/>
        <v>Se encuentra en proceso, pero requiere continuar con acciones dirigidas a contar con dicho aspecto de control.</v>
      </c>
      <c r="I41" s="94">
        <f t="shared" si="1"/>
        <v>0.5</v>
      </c>
      <c r="J41" s="266">
        <f>+AVERAGE(I41:I45)</f>
        <v>0.8</v>
      </c>
    </row>
    <row r="42" spans="1:10" ht="49.5" x14ac:dyDescent="0.25">
      <c r="A42" s="1"/>
      <c r="B42" s="1"/>
      <c r="C42" s="93">
        <v>24</v>
      </c>
      <c r="D42" s="279"/>
      <c r="E42" s="146" t="str">
        <f>+IFERROR(INDEX(Hoja1!$E$2:$E$45,MATCH('Análisis Resultados'!C42,Hoja1!$H$2:$H$45,0)),"")</f>
        <v>Planes, acciones o estrategias que permitan subsanar las consecuencias de la materialización de los riesgos, cuando se presentan</v>
      </c>
      <c r="F42" s="141" t="str">
        <f>+IFERROR(VLOOKUP(C42,Hoja1!$H$2:$I$45,2,0),"")</f>
        <v>En proceso</v>
      </c>
      <c r="G42" s="151" t="str">
        <f t="shared" si="0"/>
        <v>Se encuentra en proceso, pero requiere continuar con acciones dirigidas a contar con dicho aspecto de control.</v>
      </c>
      <c r="I42" s="95">
        <f t="shared" si="1"/>
        <v>0.5</v>
      </c>
      <c r="J42" s="267"/>
    </row>
    <row r="43" spans="1:10" ht="85.5" customHeight="1" x14ac:dyDescent="0.25">
      <c r="A43" s="1"/>
      <c r="B43" s="1"/>
      <c r="C43" s="93">
        <v>25</v>
      </c>
      <c r="D43" s="279"/>
      <c r="E43" s="146" t="str">
        <f>+IFERROR(INDEX(Hoja1!$E$2:$E$45,MATCH('Análisis Resultados'!C43,Hoja1!$H$2:$H$45,0)),"")</f>
        <v>La definición de acciones o actividades para para dar tratamiento a los problemas identificados (mitigación de riesgos), incluyendo aquellos asociados a posibles actos de corrupción</v>
      </c>
      <c r="F43" s="141" t="str">
        <f>+IFERROR(VLOOKUP(C43,Hoja1!$H$2:$I$45,2,0),"")</f>
        <v>Si</v>
      </c>
      <c r="G43" s="151" t="str">
        <f t="shared" si="0"/>
        <v>Existe requerimiento pero se requiere actividades  dirigidas a su mantenimiento dentro del marco de las lineas de defensa.</v>
      </c>
      <c r="I43" s="95">
        <f t="shared" si="1"/>
        <v>1</v>
      </c>
      <c r="J43" s="267"/>
    </row>
    <row r="44" spans="1:10" ht="57" customHeight="1" x14ac:dyDescent="0.25">
      <c r="A44" s="1"/>
      <c r="B44" s="1"/>
      <c r="C44" s="93">
        <v>26</v>
      </c>
      <c r="D44" s="279"/>
      <c r="E44" s="146"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41" t="str">
        <f>+IFERROR(VLOOKUP(C44,Hoja1!$H$2:$I$45,2,0),"")</f>
        <v>Si</v>
      </c>
      <c r="G44" s="151" t="str">
        <f t="shared" si="0"/>
        <v>Existe requerimiento pero se requiere actividades  dirigidas a su mantenimiento dentro del marco de las lineas de defensa.</v>
      </c>
      <c r="I44" s="95">
        <f t="shared" si="1"/>
        <v>1</v>
      </c>
      <c r="J44" s="267"/>
    </row>
    <row r="45" spans="1:10" ht="57" customHeight="1" thickBot="1" x14ac:dyDescent="0.3">
      <c r="A45" s="1"/>
      <c r="B45" s="1"/>
      <c r="C45" s="93">
        <v>27</v>
      </c>
      <c r="D45" s="280"/>
      <c r="E45" s="147" t="str">
        <f>+IFERROR(INDEX(Hoja1!$E$2:$E$45,MATCH('Análisis Resultados'!C45,Hoja1!$H$2:$H$45,0)),"")</f>
        <v>Un plan anticorrupción y de servicio al ciudadano con los temas que le aplican, publicado en algún medio para conocimiento de la ciudadanía</v>
      </c>
      <c r="F45" s="142" t="str">
        <f>+IFERROR(VLOOKUP(C45,Hoja1!$H$2:$I$45,2,0),"")</f>
        <v>Si</v>
      </c>
      <c r="G45" s="152" t="str">
        <f t="shared" si="0"/>
        <v>Existe requerimiento pero se requiere actividades  dirigidas a su mantenimiento dentro del marco de las lineas de defensa.</v>
      </c>
      <c r="I45" s="96">
        <f t="shared" si="1"/>
        <v>1</v>
      </c>
      <c r="J45" s="281"/>
    </row>
    <row r="46" spans="1:10" ht="63.75" customHeight="1" x14ac:dyDescent="0.25">
      <c r="A46" s="1"/>
      <c r="B46" s="1"/>
      <c r="C46" s="93">
        <v>28</v>
      </c>
      <c r="D46" s="277" t="s">
        <v>87</v>
      </c>
      <c r="E46" s="149" t="str">
        <f>+IFERROR(INDEX(Hoja1!$E$2:$E$45,MATCH('Análisis Resultados'!C46,Hoja1!$H$2:$H$45,0)),"")</f>
        <v xml:space="preserve">Lineamientos para dar tratamiento a la información de carácter reservado </v>
      </c>
      <c r="F46" s="144" t="str">
        <f>+IFERROR(VLOOKUP(C46,Hoja1!$H$2:$I$45,2,0),"")</f>
        <v>No</v>
      </c>
      <c r="G46" s="154" t="str">
        <f t="shared" si="0"/>
        <v>No se encuentra el aspecto  por lo tanto la entidad debera generar acciones dirigidas a que se cumpla con el requerimiento.</v>
      </c>
      <c r="I46" s="98">
        <f t="shared" si="1"/>
        <v>0</v>
      </c>
      <c r="J46" s="267">
        <f>+AVERAGE(I46:I52)</f>
        <v>0.6428571428571429</v>
      </c>
    </row>
    <row r="47" spans="1:10" ht="92.25" customHeight="1" x14ac:dyDescent="0.25">
      <c r="A47" s="1"/>
      <c r="B47" s="1"/>
      <c r="C47" s="93">
        <v>29</v>
      </c>
      <c r="D47" s="277"/>
      <c r="E47" s="146" t="str">
        <f>+IFERROR(INDEX(Hoja1!$E$2:$E$45,MATCH('Análisis Resultados'!C47,Hoja1!$H$2:$H$45,0)),"")</f>
        <v>Identificación de información que produce en el marco de su gestión (Para los ciudadanos, organismos de control, organismos gubernamentales, entre otros)</v>
      </c>
      <c r="F47" s="141" t="str">
        <f>+IFERROR(VLOOKUP(C47,Hoja1!$H$2:$I$45,2,0),"")</f>
        <v>No</v>
      </c>
      <c r="G47" s="155" t="str">
        <f t="shared" si="0"/>
        <v>No se encuentra el aspecto  por lo tanto la entidad debera generar acciones dirigidas a que se cumpla con el requerimiento.</v>
      </c>
      <c r="I47" s="99">
        <f t="shared" si="1"/>
        <v>0</v>
      </c>
      <c r="J47" s="267"/>
    </row>
    <row r="48" spans="1:10" ht="66.75" customHeight="1" x14ac:dyDescent="0.25">
      <c r="A48" s="1"/>
      <c r="B48" s="1"/>
      <c r="C48" s="93">
        <v>30</v>
      </c>
      <c r="D48" s="277"/>
      <c r="E48" s="146" t="str">
        <f>+IFERROR(INDEX(Hoja1!$E$2:$E$45,MATCH('Análisis Resultados'!C48,Hoja1!$H$2:$H$45,0)),"")</f>
        <v>Canales de comunicación o mecanismos de reporte de información a otros organismos gubernamentales o de control</v>
      </c>
      <c r="F48" s="141" t="str">
        <f>+IFERROR(VLOOKUP(C48,Hoja1!$H$2:$I$45,2,0),"")</f>
        <v>En proceso</v>
      </c>
      <c r="G48" s="155" t="str">
        <f t="shared" si="0"/>
        <v>Se encuentra en proceso, pero requiere continuar con acciones dirigidas a contar con dicho aspecto de control.</v>
      </c>
      <c r="I48" s="99">
        <f t="shared" si="1"/>
        <v>0.5</v>
      </c>
      <c r="J48" s="267"/>
    </row>
    <row r="49" spans="1:10" ht="60" customHeight="1" x14ac:dyDescent="0.25">
      <c r="A49" s="1"/>
      <c r="B49" s="1"/>
      <c r="C49" s="93">
        <v>31</v>
      </c>
      <c r="D49" s="277"/>
      <c r="E49" s="146" t="str">
        <f>+IFERROR(INDEX(Hoja1!$E$2:$E$45,MATCH('Análisis Resultados'!C49,Hoja1!$H$2:$H$45,0)),"")</f>
        <v>Responsables de la información institucional</v>
      </c>
      <c r="F49" s="141" t="str">
        <f>+IFERROR(VLOOKUP(C49,Hoja1!$H$2:$I$45,2,0),"")</f>
        <v>Si</v>
      </c>
      <c r="G49" s="155" t="str">
        <f t="shared" si="0"/>
        <v>Existe requerimiento pero se requiere actividades  dirigidas a su mantenimiento dentro del marco de las lineas de defensa.</v>
      </c>
      <c r="I49" s="99">
        <f t="shared" si="1"/>
        <v>1</v>
      </c>
      <c r="J49" s="267"/>
    </row>
    <row r="50" spans="1:10" ht="57" customHeight="1" x14ac:dyDescent="0.25">
      <c r="A50" s="1"/>
      <c r="B50" s="1"/>
      <c r="C50" s="93">
        <v>32</v>
      </c>
      <c r="D50" s="277"/>
      <c r="E50" s="146" t="str">
        <f>+IFERROR(INDEX(Hoja1!$E$2:$E$45,MATCH('Análisis Resultados'!C50,Hoja1!$H$2:$H$45,0)),"")</f>
        <v>Canales de comunicación con los ciudadanos</v>
      </c>
      <c r="F50" s="141" t="str">
        <f>+IFERROR(VLOOKUP(C50,Hoja1!$H$2:$I$45,2,0),"")</f>
        <v>Si</v>
      </c>
      <c r="G50" s="155" t="str">
        <f t="shared" si="0"/>
        <v>Existe requerimiento pero se requiere actividades  dirigidas a su mantenimiento dentro del marco de las lineas de defensa.</v>
      </c>
      <c r="I50" s="99">
        <f t="shared" si="1"/>
        <v>1</v>
      </c>
      <c r="J50" s="267"/>
    </row>
    <row r="51" spans="1:10" ht="57" customHeight="1" x14ac:dyDescent="0.25">
      <c r="A51" s="1"/>
      <c r="B51" s="1"/>
      <c r="C51" s="93">
        <v>33</v>
      </c>
      <c r="D51" s="277"/>
      <c r="E51" s="146" t="str">
        <f>+IFERROR(INDEX(Hoja1!$E$2:$E$45,MATCH('Análisis Resultados'!C51,Hoja1!$H$2:$H$45,0)),"")</f>
        <v>Identificación de información necesaria para la operación de la entidad (normograma, presupuesto, talento humano, infraestructura física y tecnológica)</v>
      </c>
      <c r="F51" s="141" t="str">
        <f>+IFERROR(VLOOKUP(C51,Hoja1!$H$2:$I$45,2,0),"")</f>
        <v>Si</v>
      </c>
      <c r="G51" s="155" t="str">
        <f t="shared" si="0"/>
        <v>Existe requerimiento pero se requiere actividades  dirigidas a su mantenimiento dentro del marco de las lineas de defensa.</v>
      </c>
      <c r="I51" s="99">
        <f t="shared" si="1"/>
        <v>1</v>
      </c>
      <c r="J51" s="267"/>
    </row>
    <row r="52" spans="1:10" ht="39" thickBot="1" x14ac:dyDescent="0.3">
      <c r="A52" s="1"/>
      <c r="B52" s="1"/>
      <c r="C52" s="93">
        <v>34</v>
      </c>
      <c r="D52" s="277"/>
      <c r="E52" s="148" t="str">
        <f>+IFERROR(INDEX(Hoja1!$E$2:$E$45,MATCH('Análisis Resultados'!C52,Hoja1!$H$2:$H$45,0)),"")</f>
        <v>Si su capacidad e infraestructura lo permite, tecnologías de la información y las comunicaciones que soporten estos procesos</v>
      </c>
      <c r="F52" s="143" t="str">
        <f>+IFERROR(VLOOKUP(C52,Hoja1!$H$2:$I$45,2,0),"")</f>
        <v>Si</v>
      </c>
      <c r="G52" s="156" t="str">
        <f t="shared" si="0"/>
        <v>Existe requerimiento pero se requiere actividades  dirigidas a su mantenimiento dentro del marco de las lineas de defensa.</v>
      </c>
      <c r="I52" s="100">
        <f t="shared" si="1"/>
        <v>1</v>
      </c>
      <c r="J52" s="267"/>
    </row>
    <row r="53" spans="1:10" ht="41.25" customHeight="1" x14ac:dyDescent="0.25">
      <c r="A53" s="1"/>
      <c r="B53" s="1"/>
      <c r="C53" s="93">
        <v>35</v>
      </c>
      <c r="D53" s="271" t="s">
        <v>97</v>
      </c>
      <c r="E53" s="145" t="str">
        <f>+IFERROR(INDEX(Hoja1!$E$2:$E$45,MATCH('Análisis Resultados'!C53,Hoja1!$H$2:$H$45,0)),"")</f>
        <v>La entidad participa en el  Comité Municipal de Auditoría?</v>
      </c>
      <c r="F53" s="140" t="str">
        <f>+IFERROR(VLOOKUP(C53,Hoja1!$H$2:$I$45,2,0),"")</f>
        <v>No</v>
      </c>
      <c r="G53" s="150" t="str">
        <f t="shared" si="0"/>
        <v>No se encuentra el aspecto  por lo tanto la entidad debera generar acciones dirigidas a que se cumpla con el requerimiento.</v>
      </c>
      <c r="I53" s="94">
        <f t="shared" si="1"/>
        <v>0</v>
      </c>
      <c r="J53" s="274">
        <f>+AVERAGE(I53:I62)</f>
        <v>0.65</v>
      </c>
    </row>
    <row r="54" spans="1:10" ht="58.5" customHeight="1" x14ac:dyDescent="0.25">
      <c r="A54" s="1"/>
      <c r="B54" s="1"/>
      <c r="C54" s="93">
        <v>36</v>
      </c>
      <c r="D54" s="272"/>
      <c r="E54" s="146" t="str">
        <f>+IFERROR(INDEX(Hoja1!$E$2:$E$45,MATCH('Análisis Resultados'!C54,Hoja1!$H$2:$H$45,0)),"")</f>
        <v>Evitar que los problemas (riesgos) obstaculicen el cumplimiento de los objetivos.</v>
      </c>
      <c r="F54" s="141" t="str">
        <f>+IFERROR(VLOOKUP(C54,Hoja1!$H$2:$I$45,2,0),"")</f>
        <v>En proceso</v>
      </c>
      <c r="G54" s="151" t="str">
        <f t="shared" si="0"/>
        <v>Se encuentra en proceso, pero requiere continuar con acciones dirigidas a contar con dicho aspecto de control.</v>
      </c>
      <c r="I54" s="95">
        <f t="shared" si="1"/>
        <v>0.5</v>
      </c>
      <c r="J54" s="275"/>
    </row>
    <row r="55" spans="1:10" s="1" customFormat="1" ht="84.75" customHeight="1" x14ac:dyDescent="0.25">
      <c r="C55" s="93">
        <v>37</v>
      </c>
      <c r="D55" s="272"/>
      <c r="E55" s="146" t="str">
        <f>+IFERROR(INDEX(Hoja1!$E$2:$E$45,MATCH('Análisis Resultados'!C55,Hoja1!$H$2:$H$45,0)),"")</f>
        <v>Controlar los puntos críticos en los procesos.</v>
      </c>
      <c r="F55" s="141" t="str">
        <f>+IFERROR(VLOOKUP(C55,Hoja1!$H$2:$I$45,2,0),"")</f>
        <v>En proceso</v>
      </c>
      <c r="G55" s="151" t="str">
        <f t="shared" si="0"/>
        <v>Se encuentra en proceso, pero requiere continuar con acciones dirigidas a contar con dicho aspecto de control.</v>
      </c>
      <c r="I55" s="95">
        <f t="shared" si="1"/>
        <v>0.5</v>
      </c>
      <c r="J55" s="275"/>
    </row>
    <row r="56" spans="1:10" s="1" customFormat="1" ht="78.75" customHeight="1" x14ac:dyDescent="0.25">
      <c r="C56" s="93">
        <v>38</v>
      </c>
      <c r="D56" s="272"/>
      <c r="E56" s="146" t="str">
        <f>+IFERROR(INDEX(Hoja1!$E$2:$E$45,MATCH('Análisis Resultados'!C56,Hoja1!$H$2:$H$45,0)),"")</f>
        <v>Diseñar acciones adecuadas para controlar los problemas que afectan el cumplimiento de las metas y objetivos institucionales (riesgos).</v>
      </c>
      <c r="F56" s="141" t="str">
        <f>+IFERROR(VLOOKUP(C56,Hoja1!$H$2:$I$45,2,0),"")</f>
        <v>En proceso</v>
      </c>
      <c r="G56" s="151" t="str">
        <f t="shared" si="0"/>
        <v>Se encuentra en proceso, pero requiere continuar con acciones dirigidas a contar con dicho aspecto de control.</v>
      </c>
      <c r="I56" s="95">
        <f t="shared" si="1"/>
        <v>0.5</v>
      </c>
      <c r="J56" s="275"/>
    </row>
    <row r="57" spans="1:10" s="1" customFormat="1" ht="54.75" customHeight="1" x14ac:dyDescent="0.25">
      <c r="C57" s="93">
        <v>39</v>
      </c>
      <c r="D57" s="272"/>
      <c r="E57" s="146" t="str">
        <f>+IFERROR(INDEX(Hoja1!$E$2:$E$45,MATCH('Análisis Resultados'!C57,Hoja1!$H$2:$H$45,0)),"")</f>
        <v>Ejecutar las acciones de acuerdo a como se diseñaron previamente.</v>
      </c>
      <c r="F57" s="141" t="str">
        <f>+IFERROR(VLOOKUP(C57,Hoja1!$H$2:$I$45,2,0),"")</f>
        <v>En proceso</v>
      </c>
      <c r="G57" s="151" t="str">
        <f t="shared" si="0"/>
        <v>Se encuentra en proceso, pero requiere continuar con acciones dirigidas a contar con dicho aspecto de control.</v>
      </c>
      <c r="I57" s="95">
        <f t="shared" si="1"/>
        <v>0.5</v>
      </c>
      <c r="J57" s="275"/>
    </row>
    <row r="58" spans="1:10" s="1" customFormat="1" ht="68.25" customHeight="1" x14ac:dyDescent="0.25">
      <c r="C58" s="93">
        <v>40</v>
      </c>
      <c r="D58" s="272"/>
      <c r="E58" s="146" t="str">
        <f>+IFERROR(INDEX(Hoja1!$E$2:$E$45,MATCH('Análisis Resultados'!C58,Hoja1!$H$2:$H$45,0)),"")</f>
        <v>No se gestionan los problemas que afectan el cumplimiento de las funciones y objetivos institucionales(riesgos).</v>
      </c>
      <c r="F58" s="141" t="str">
        <f>+IFERROR(VLOOKUP(C58,Hoja1!$H$2:$I$45,2,0),"")</f>
        <v>En proceso</v>
      </c>
      <c r="G58" s="151" t="str">
        <f t="shared" si="0"/>
        <v>Se encuentra en proceso, pero requiere continuar con acciones dirigidas a contar con dicho aspecto de control.</v>
      </c>
      <c r="I58" s="95">
        <f t="shared" si="1"/>
        <v>0.5</v>
      </c>
      <c r="J58" s="275"/>
    </row>
    <row r="59" spans="1:10" s="1" customFormat="1" ht="45" customHeight="1" x14ac:dyDescent="0.25">
      <c r="C59" s="93">
        <v>41</v>
      </c>
      <c r="D59" s="272"/>
      <c r="E59" s="146" t="str">
        <f>+IFERROR(INDEX(Hoja1!$E$2:$E$45,MATCH('Análisis Resultados'!C59,Hoja1!$H$2:$H$45,0)),"")</f>
        <v>Mecanismos de evaluación de la gestión (cronogramas, indicadores, listas de chequeo u otros)</v>
      </c>
      <c r="F59" s="141" t="str">
        <f>+IFERROR(VLOOKUP(C59,Hoja1!$H$2:$I$45,2,0),"")</f>
        <v>Si</v>
      </c>
      <c r="G59" s="151" t="str">
        <f t="shared" si="0"/>
        <v>Existe requerimiento pero se requiere actividades  dirigidas a su mantenimiento dentro del marco de las lineas de defensa.</v>
      </c>
      <c r="I59" s="95">
        <f t="shared" si="1"/>
        <v>1</v>
      </c>
      <c r="J59" s="275"/>
    </row>
    <row r="60" spans="1:10" s="1" customFormat="1" ht="51.75" customHeight="1" x14ac:dyDescent="0.25">
      <c r="C60" s="93">
        <v>42</v>
      </c>
      <c r="D60" s="272"/>
      <c r="E60" s="146" t="str">
        <f>+IFERROR(INDEX(Hoja1!$E$2:$E$45,MATCH('Análisis Resultados'!C60,Hoja1!$H$2:$H$45,0)),"")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60" s="141" t="str">
        <f>+IFERROR(VLOOKUP(C60,Hoja1!$H$2:$I$45,2,0),"")</f>
        <v>Si</v>
      </c>
      <c r="G60" s="151" t="str">
        <f t="shared" si="0"/>
        <v>Existe requerimiento pero se requiere actividades  dirigidas a su mantenimiento dentro del marco de las lineas de defensa.</v>
      </c>
      <c r="I60" s="95">
        <f t="shared" si="1"/>
        <v>1</v>
      </c>
      <c r="J60" s="275"/>
    </row>
    <row r="61" spans="1:10" s="1" customFormat="1" ht="84" customHeight="1" x14ac:dyDescent="0.25">
      <c r="C61" s="93">
        <v>43</v>
      </c>
      <c r="D61" s="272"/>
      <c r="E61" s="146" t="str">
        <f>+IFERROR(INDEX(Hoja1!$E$2:$E$45,MATCH('Análisis Resultados'!C61,Hoja1!$H$2:$H$45,0)),"")</f>
        <v>Medidas correctivas en caso de detectarse deficiencias en los ejercicios de evaluación, seguimiento o auditoría</v>
      </c>
      <c r="F61" s="141" t="str">
        <f>+IFERROR(VLOOKUP(C61,Hoja1!$H$2:$I$45,2,0),"")</f>
        <v>Si</v>
      </c>
      <c r="G61" s="151" t="str">
        <f t="shared" si="0"/>
        <v>Existe requerimiento pero se requiere actividades  dirigidas a su mantenimiento dentro del marco de las lineas de defensa.</v>
      </c>
      <c r="I61" s="95">
        <f t="shared" si="1"/>
        <v>1</v>
      </c>
      <c r="J61" s="275"/>
    </row>
    <row r="62" spans="1:10" s="1" customFormat="1" ht="60" customHeight="1" thickBot="1" x14ac:dyDescent="0.3">
      <c r="C62" s="93">
        <v>44</v>
      </c>
      <c r="D62" s="273"/>
      <c r="E62" s="147" t="str">
        <f>+IFERROR(INDEX(Hoja1!$E$2:$E$45,MATCH('Análisis Resultados'!C62,Hoja1!$H$2:$H$45,0)),"")</f>
        <v>Seguimiento a los planes de mejoramiento suscritos con instancias de control internas o externas</v>
      </c>
      <c r="F62" s="142" t="str">
        <f>+IFERROR(VLOOKUP(C62,Hoja1!$H$2:$I$45,2,0),"")</f>
        <v>Si</v>
      </c>
      <c r="G62" s="152" t="str">
        <f t="shared" si="0"/>
        <v>Existe requerimiento pero se requiere actividades  dirigidas a su mantenimiento dentro del marco de las lineas de defensa.</v>
      </c>
      <c r="I62" s="96">
        <f t="shared" si="1"/>
        <v>1</v>
      </c>
      <c r="J62" s="276"/>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C7:K7"/>
    <mergeCell ref="C9:D9"/>
    <mergeCell ref="E9:F9"/>
    <mergeCell ref="C10:D10"/>
    <mergeCell ref="E10:F10"/>
    <mergeCell ref="C11:D11"/>
    <mergeCell ref="E11:F11"/>
    <mergeCell ref="J17:J18"/>
    <mergeCell ref="D19:D30"/>
    <mergeCell ref="C17:C18"/>
    <mergeCell ref="D17:E17"/>
    <mergeCell ref="F17:F18"/>
    <mergeCell ref="G17:G18"/>
    <mergeCell ref="I17:I18"/>
    <mergeCell ref="J31:J40"/>
    <mergeCell ref="C12:D12"/>
    <mergeCell ref="E12:F12"/>
    <mergeCell ref="J19:J30"/>
    <mergeCell ref="D53:D62"/>
    <mergeCell ref="J53:J62"/>
    <mergeCell ref="D46:D52"/>
    <mergeCell ref="J46:J52"/>
    <mergeCell ref="D41:D45"/>
    <mergeCell ref="J41:J45"/>
    <mergeCell ref="D31:D4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pageSetup scale="44" orientation="portrait" r:id="rId1"/>
  <colBreaks count="1" manualBreakCount="1">
    <brk id="10" max="1048575" man="1"/>
  </colBreaks>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41"/>
  <sheetViews>
    <sheetView view="pageBreakPreview" topLeftCell="A17" zoomScale="80" zoomScaleNormal="64" zoomScaleSheetLayoutView="80" workbookViewId="0">
      <selection activeCell="F7" sqref="F7"/>
    </sheetView>
  </sheetViews>
  <sheetFormatPr baseColWidth="10" defaultColWidth="11.42578125" defaultRowHeight="15" x14ac:dyDescent="0.25"/>
  <cols>
    <col min="1" max="1" width="4.42578125" customWidth="1"/>
    <col min="3" max="3" width="35.42578125" customWidth="1"/>
    <col min="4" max="4" width="13" style="160" customWidth="1"/>
    <col min="5" max="5" width="43.28515625" customWidth="1"/>
    <col min="7" max="7" width="33.85546875" customWidth="1"/>
    <col min="9" max="9" width="92.28515625" customWidth="1"/>
    <col min="13" max="13" width="29" customWidth="1"/>
  </cols>
  <sheetData>
    <row r="1" spans="1:17" s="1" customFormat="1" x14ac:dyDescent="0.25">
      <c r="D1" s="158"/>
    </row>
    <row r="2" spans="1:17" ht="15.75" thickBot="1" x14ac:dyDescent="0.3">
      <c r="A2" s="1"/>
      <c r="B2" s="1"/>
      <c r="C2" s="1"/>
      <c r="D2" s="158"/>
      <c r="E2" s="1"/>
      <c r="F2" s="1"/>
      <c r="G2" s="1"/>
      <c r="H2" s="1"/>
      <c r="I2" s="1"/>
      <c r="J2" s="1"/>
      <c r="K2" s="1"/>
      <c r="L2" s="1"/>
      <c r="M2" s="1"/>
      <c r="N2" s="1"/>
      <c r="O2" s="1"/>
      <c r="P2" s="1"/>
      <c r="Q2" s="1"/>
    </row>
    <row r="3" spans="1:17" ht="15.75" thickTop="1" x14ac:dyDescent="0.25">
      <c r="A3" s="1"/>
      <c r="B3" s="2"/>
      <c r="C3" s="3"/>
      <c r="D3" s="159"/>
      <c r="E3" s="3"/>
      <c r="F3" s="3"/>
      <c r="G3" s="3"/>
      <c r="H3" s="3"/>
      <c r="I3" s="3"/>
      <c r="J3" s="3"/>
      <c r="K3" s="3"/>
      <c r="L3" s="3"/>
      <c r="M3" s="3"/>
      <c r="N3" s="3"/>
      <c r="O3" s="3"/>
      <c r="P3" s="4"/>
      <c r="Q3" s="1"/>
    </row>
    <row r="4" spans="1:17" ht="16.5" x14ac:dyDescent="0.3">
      <c r="A4" s="1"/>
      <c r="B4" s="5"/>
      <c r="C4" s="1"/>
      <c r="D4" s="158"/>
      <c r="E4" s="304" t="s">
        <v>124</v>
      </c>
      <c r="F4" s="306" t="s">
        <v>194</v>
      </c>
      <c r="G4" s="306"/>
      <c r="H4" s="306"/>
      <c r="I4" s="306"/>
      <c r="J4" s="306"/>
      <c r="K4" s="306"/>
      <c r="L4" s="306"/>
      <c r="M4" s="306"/>
      <c r="N4" s="6"/>
      <c r="O4" s="6"/>
      <c r="P4" s="7"/>
      <c r="Q4" s="1"/>
    </row>
    <row r="5" spans="1:17" ht="27" customHeight="1" x14ac:dyDescent="0.3">
      <c r="A5" s="1"/>
      <c r="B5" s="5"/>
      <c r="C5" s="1"/>
      <c r="D5" s="158"/>
      <c r="E5" s="305"/>
      <c r="F5" s="306"/>
      <c r="G5" s="306"/>
      <c r="H5" s="306"/>
      <c r="I5" s="306"/>
      <c r="J5" s="306"/>
      <c r="K5" s="306"/>
      <c r="L5" s="306"/>
      <c r="M5" s="306"/>
      <c r="N5" s="6"/>
      <c r="O5" s="6"/>
      <c r="P5" s="7"/>
      <c r="Q5" s="1"/>
    </row>
    <row r="6" spans="1:17" ht="36.75" customHeight="1" x14ac:dyDescent="0.3">
      <c r="A6" s="1"/>
      <c r="B6" s="5"/>
      <c r="C6" s="1"/>
      <c r="D6" s="158"/>
      <c r="E6" s="80" t="s">
        <v>125</v>
      </c>
      <c r="F6" s="307" t="s">
        <v>240</v>
      </c>
      <c r="G6" s="308"/>
      <c r="H6" s="308"/>
      <c r="I6" s="308"/>
      <c r="J6" s="308"/>
      <c r="K6" s="308"/>
      <c r="L6" s="308"/>
      <c r="M6" s="309"/>
      <c r="N6" s="8"/>
      <c r="O6" s="8"/>
      <c r="P6" s="7"/>
      <c r="Q6" s="1"/>
    </row>
    <row r="7" spans="1:17" ht="17.25" thickBot="1" x14ac:dyDescent="0.35">
      <c r="A7" s="1"/>
      <c r="B7" s="5"/>
      <c r="C7" s="1"/>
      <c r="D7" s="158"/>
      <c r="E7" s="9"/>
      <c r="F7" s="8"/>
      <c r="G7" s="8"/>
      <c r="H7" s="8"/>
      <c r="I7" s="8"/>
      <c r="J7" s="8"/>
      <c r="K7" s="8"/>
      <c r="L7" s="8"/>
      <c r="M7" s="1"/>
      <c r="N7" s="1"/>
      <c r="O7" s="1"/>
      <c r="P7" s="7"/>
      <c r="Q7" s="1"/>
    </row>
    <row r="8" spans="1:17" ht="52.5" customHeight="1" thickBot="1" x14ac:dyDescent="0.3">
      <c r="A8" s="1"/>
      <c r="B8" s="5"/>
      <c r="C8" s="1"/>
      <c r="D8" s="158"/>
      <c r="E8" s="1"/>
      <c r="F8" s="1"/>
      <c r="G8" s="1"/>
      <c r="H8" s="1"/>
      <c r="I8" s="310" t="s">
        <v>126</v>
      </c>
      <c r="J8" s="311"/>
      <c r="K8" s="312"/>
      <c r="L8" s="1"/>
      <c r="M8" s="101">
        <f>+AVERAGE(G26,G28,G30,G32,G34)</f>
        <v>0.73357142857142854</v>
      </c>
      <c r="N8" s="10"/>
      <c r="O8" s="10"/>
      <c r="P8" s="7"/>
      <c r="Q8" s="1"/>
    </row>
    <row r="9" spans="1:17" ht="15.75" x14ac:dyDescent="0.25">
      <c r="A9" s="1"/>
      <c r="B9" s="5"/>
      <c r="C9" s="1"/>
      <c r="D9" s="158"/>
      <c r="E9" s="1"/>
      <c r="F9" s="1"/>
      <c r="G9" s="1"/>
      <c r="H9" s="1"/>
      <c r="I9" s="1"/>
      <c r="J9" s="1"/>
      <c r="K9" s="1"/>
      <c r="L9" s="1"/>
      <c r="M9" s="11"/>
      <c r="N9" s="11"/>
      <c r="O9" s="11"/>
      <c r="P9" s="7"/>
      <c r="Q9" s="1"/>
    </row>
    <row r="10" spans="1:17" x14ac:dyDescent="0.25">
      <c r="A10" s="1"/>
      <c r="B10" s="5"/>
      <c r="C10" s="1"/>
      <c r="D10" s="158"/>
      <c r="E10" s="1"/>
      <c r="F10" s="1"/>
      <c r="G10" s="1"/>
      <c r="H10" s="1"/>
      <c r="I10" s="1"/>
      <c r="J10" s="1"/>
      <c r="K10" s="1"/>
      <c r="L10" s="1"/>
      <c r="M10" s="1"/>
      <c r="N10" s="1"/>
      <c r="O10" s="1"/>
      <c r="P10" s="7"/>
      <c r="Q10" s="1"/>
    </row>
    <row r="11" spans="1:17" x14ac:dyDescent="0.25">
      <c r="A11" s="1"/>
      <c r="B11" s="5"/>
      <c r="C11" s="1"/>
      <c r="D11" s="158"/>
      <c r="E11" s="1"/>
      <c r="F11" s="1"/>
      <c r="G11" s="1"/>
      <c r="H11" s="1"/>
      <c r="I11" s="1"/>
      <c r="J11" s="1"/>
      <c r="K11" s="1"/>
      <c r="L11" s="1"/>
      <c r="M11" s="1"/>
      <c r="N11" s="1"/>
      <c r="O11" s="1"/>
      <c r="P11" s="7"/>
      <c r="Q11" s="1"/>
    </row>
    <row r="12" spans="1:17" x14ac:dyDescent="0.25">
      <c r="A12" s="1"/>
      <c r="B12" s="5"/>
      <c r="C12" s="1"/>
      <c r="D12" s="158"/>
      <c r="E12" s="1"/>
      <c r="F12" s="1"/>
      <c r="G12" s="1"/>
      <c r="H12" s="1"/>
      <c r="I12" s="1"/>
      <c r="J12" s="1"/>
      <c r="K12" s="1"/>
      <c r="L12" s="1"/>
      <c r="M12" s="1"/>
      <c r="N12" s="1"/>
      <c r="O12" s="1"/>
      <c r="P12" s="7"/>
      <c r="Q12" s="1"/>
    </row>
    <row r="13" spans="1:17" x14ac:dyDescent="0.25">
      <c r="A13" s="1"/>
      <c r="B13" s="5"/>
      <c r="C13" s="1"/>
      <c r="D13" s="158"/>
      <c r="E13" s="1"/>
      <c r="F13" s="1"/>
      <c r="G13" s="1"/>
      <c r="H13" s="1"/>
      <c r="I13" s="1"/>
      <c r="J13" s="1"/>
      <c r="K13" s="1"/>
      <c r="L13" s="1"/>
      <c r="M13" s="1"/>
      <c r="N13" s="1"/>
      <c r="O13" s="1"/>
      <c r="P13" s="7"/>
      <c r="Q13" s="1"/>
    </row>
    <row r="14" spans="1:17" x14ac:dyDescent="0.25">
      <c r="A14" s="1"/>
      <c r="B14" s="5"/>
      <c r="C14" s="1"/>
      <c r="D14" s="158"/>
      <c r="E14" s="1"/>
      <c r="F14" s="1"/>
      <c r="G14" s="1"/>
      <c r="H14" s="1"/>
      <c r="I14" s="1"/>
      <c r="J14" s="1"/>
      <c r="K14" s="1"/>
      <c r="L14" s="1"/>
      <c r="M14" s="1"/>
      <c r="N14" s="1"/>
      <c r="O14" s="1"/>
      <c r="P14" s="7"/>
      <c r="Q14" s="1"/>
    </row>
    <row r="15" spans="1:17" ht="20.25" customHeight="1" x14ac:dyDescent="0.25">
      <c r="A15" s="1"/>
      <c r="B15" s="5"/>
      <c r="C15" s="1"/>
      <c r="D15" s="158"/>
      <c r="E15" s="1"/>
      <c r="F15" s="1"/>
      <c r="G15" s="1"/>
      <c r="H15" s="1"/>
      <c r="I15" s="1"/>
      <c r="J15" s="1"/>
      <c r="K15" s="1"/>
      <c r="L15" s="1"/>
      <c r="M15" s="1"/>
      <c r="N15" s="1"/>
      <c r="O15" s="1"/>
      <c r="P15" s="7"/>
      <c r="Q15" s="1"/>
    </row>
    <row r="16" spans="1:17" ht="3.75" hidden="1" customHeight="1" x14ac:dyDescent="0.25">
      <c r="A16" s="1"/>
      <c r="B16" s="5"/>
      <c r="C16" s="1"/>
      <c r="D16" s="158"/>
      <c r="E16" s="1"/>
      <c r="F16" s="1"/>
      <c r="G16" s="1"/>
      <c r="H16" s="1"/>
      <c r="I16" s="1"/>
      <c r="J16" s="1"/>
      <c r="K16" s="1"/>
      <c r="L16" s="1"/>
      <c r="M16" s="1"/>
      <c r="N16" s="1"/>
      <c r="O16" s="1"/>
      <c r="P16" s="7"/>
      <c r="Q16" s="1"/>
    </row>
    <row r="17" spans="1:17" ht="37.5" customHeight="1" x14ac:dyDescent="0.25">
      <c r="A17" s="1"/>
      <c r="B17" s="5"/>
      <c r="C17" s="1"/>
      <c r="D17" s="158"/>
      <c r="E17" s="1"/>
      <c r="F17" s="1"/>
      <c r="G17" s="1"/>
      <c r="H17" s="1"/>
      <c r="I17" s="1"/>
      <c r="J17" s="1"/>
      <c r="K17" s="1"/>
      <c r="L17" s="1"/>
      <c r="M17" s="1"/>
      <c r="N17" s="1"/>
      <c r="O17" s="1"/>
      <c r="P17" s="7"/>
      <c r="Q17" s="1"/>
    </row>
    <row r="18" spans="1:17" ht="23.25" x14ac:dyDescent="0.25">
      <c r="A18" s="1"/>
      <c r="B18" s="5"/>
      <c r="C18" s="313" t="s">
        <v>127</v>
      </c>
      <c r="D18" s="314"/>
      <c r="E18" s="314"/>
      <c r="F18" s="314"/>
      <c r="G18" s="314"/>
      <c r="H18" s="314"/>
      <c r="I18" s="314"/>
      <c r="J18" s="314"/>
      <c r="K18" s="314"/>
      <c r="L18" s="314"/>
      <c r="M18" s="315"/>
      <c r="N18" s="12"/>
      <c r="O18" s="12"/>
      <c r="P18" s="7"/>
      <c r="Q18" s="1"/>
    </row>
    <row r="19" spans="1:17" ht="15.75" x14ac:dyDescent="0.25">
      <c r="A19" s="1"/>
      <c r="B19" s="5"/>
      <c r="C19" s="13"/>
      <c r="D19" s="13"/>
      <c r="E19" s="13"/>
      <c r="F19" s="13"/>
      <c r="G19" s="13"/>
      <c r="H19" s="13"/>
      <c r="I19" s="13"/>
      <c r="J19" s="13"/>
      <c r="K19" s="13"/>
      <c r="L19" s="13"/>
      <c r="M19" s="13"/>
      <c r="N19" s="14"/>
      <c r="O19" s="14"/>
      <c r="P19" s="7"/>
      <c r="Q19" s="1"/>
    </row>
    <row r="20" spans="1:17" ht="150" hidden="1" customHeight="1" x14ac:dyDescent="0.25">
      <c r="A20" s="1"/>
      <c r="B20" s="5"/>
      <c r="C20" s="316" t="s">
        <v>128</v>
      </c>
      <c r="D20" s="317"/>
      <c r="E20" s="104" t="s">
        <v>39</v>
      </c>
      <c r="F20" s="318"/>
      <c r="G20" s="318"/>
      <c r="H20" s="318"/>
      <c r="I20" s="318"/>
      <c r="J20" s="318"/>
      <c r="K20" s="318"/>
      <c r="L20" s="318"/>
      <c r="M20" s="319"/>
      <c r="N20" s="14"/>
      <c r="O20" s="14"/>
      <c r="P20" s="7"/>
      <c r="Q20" s="1"/>
    </row>
    <row r="21" spans="1:17" ht="126.75" hidden="1" customHeight="1" x14ac:dyDescent="0.25">
      <c r="A21" s="1"/>
      <c r="B21" s="5"/>
      <c r="C21" s="300" t="s">
        <v>129</v>
      </c>
      <c r="D21" s="301"/>
      <c r="E21" s="105" t="s">
        <v>39</v>
      </c>
      <c r="F21" s="320"/>
      <c r="G21" s="320"/>
      <c r="H21" s="320"/>
      <c r="I21" s="320"/>
      <c r="J21" s="320"/>
      <c r="K21" s="320"/>
      <c r="L21" s="320"/>
      <c r="M21" s="321"/>
      <c r="N21" s="14"/>
      <c r="O21" s="14"/>
      <c r="P21" s="7"/>
      <c r="Q21" s="1"/>
    </row>
    <row r="22" spans="1:17" ht="151.5" hidden="1" customHeight="1" thickBot="1" x14ac:dyDescent="0.3">
      <c r="A22" s="1"/>
      <c r="B22" s="5"/>
      <c r="C22" s="302" t="s">
        <v>130</v>
      </c>
      <c r="D22" s="303"/>
      <c r="E22" s="106" t="s">
        <v>39</v>
      </c>
      <c r="F22" s="322"/>
      <c r="G22" s="322"/>
      <c r="H22" s="322"/>
      <c r="I22" s="322"/>
      <c r="J22" s="322"/>
      <c r="K22" s="322"/>
      <c r="L22" s="322"/>
      <c r="M22" s="323"/>
      <c r="N22" s="14"/>
      <c r="O22" s="14"/>
      <c r="P22" s="7"/>
      <c r="Q22" s="1"/>
    </row>
    <row r="23" spans="1:17" x14ac:dyDescent="0.25">
      <c r="A23" s="1"/>
      <c r="B23" s="5"/>
      <c r="C23" s="1"/>
      <c r="D23" s="158"/>
      <c r="E23" s="1"/>
      <c r="F23" s="1"/>
      <c r="G23" s="15"/>
      <c r="H23" s="1"/>
      <c r="I23" s="1"/>
      <c r="J23" s="1"/>
      <c r="K23" s="1"/>
      <c r="L23" s="1"/>
      <c r="M23" s="1"/>
      <c r="N23" s="1"/>
      <c r="O23" s="1"/>
      <c r="P23" s="7"/>
      <c r="Q23" s="1"/>
    </row>
    <row r="24" spans="1:17" ht="78.75" x14ac:dyDescent="0.25">
      <c r="A24" s="1"/>
      <c r="B24" s="5"/>
      <c r="C24" s="83" t="s">
        <v>131</v>
      </c>
      <c r="D24" s="84"/>
      <c r="E24" s="83" t="s">
        <v>132</v>
      </c>
      <c r="F24" s="84"/>
      <c r="G24" s="83" t="s">
        <v>133</v>
      </c>
      <c r="H24" s="84"/>
      <c r="I24" s="327" t="s">
        <v>134</v>
      </c>
      <c r="J24" s="327"/>
      <c r="K24" s="327"/>
      <c r="L24" s="327"/>
      <c r="M24" s="327"/>
      <c r="N24" s="30"/>
      <c r="O24" s="30"/>
      <c r="P24" s="7"/>
      <c r="Q24" s="16"/>
    </row>
    <row r="25" spans="1:17" ht="13.5" customHeight="1" thickBot="1" x14ac:dyDescent="0.3">
      <c r="A25" s="1"/>
      <c r="B25" s="5"/>
      <c r="C25" s="29"/>
      <c r="I25" s="331"/>
      <c r="J25" s="331"/>
      <c r="K25" s="331"/>
      <c r="L25" s="331"/>
      <c r="M25" s="331"/>
      <c r="N25" s="31"/>
      <c r="O25" s="31"/>
      <c r="P25" s="7"/>
      <c r="Q25" s="1"/>
    </row>
    <row r="26" spans="1:17" ht="123.75" customHeight="1" thickBot="1" x14ac:dyDescent="0.3">
      <c r="A26" s="1"/>
      <c r="B26" s="5"/>
      <c r="C26" s="74" t="s">
        <v>32</v>
      </c>
      <c r="D26" s="17"/>
      <c r="E26" s="102" t="str">
        <f>+IF(Hoja1!K2&gt;=0.5,"Si","No")</f>
        <v>Si</v>
      </c>
      <c r="F26" s="18"/>
      <c r="G26" s="103">
        <f>+Hoja1!K2</f>
        <v>0.875</v>
      </c>
      <c r="H26" s="18"/>
      <c r="I26" s="328" t="s">
        <v>227</v>
      </c>
      <c r="J26" s="329"/>
      <c r="K26" s="329"/>
      <c r="L26" s="329"/>
      <c r="M26" s="330"/>
      <c r="N26" s="32"/>
      <c r="O26" s="33"/>
      <c r="P26" s="19"/>
      <c r="Q26" s="20"/>
    </row>
    <row r="27" spans="1:17" ht="15.75" customHeight="1" thickBot="1" x14ac:dyDescent="0.45">
      <c r="A27" s="1"/>
      <c r="B27" s="5"/>
      <c r="C27" s="75"/>
      <c r="E27" s="82"/>
      <c r="G27" s="21"/>
      <c r="I27" s="332"/>
      <c r="J27" s="332"/>
      <c r="K27" s="332"/>
      <c r="L27" s="332"/>
      <c r="M27" s="332"/>
      <c r="N27" s="34"/>
      <c r="O27" s="34"/>
      <c r="P27" s="7"/>
      <c r="Q27" s="1"/>
    </row>
    <row r="28" spans="1:17" ht="89.25" customHeight="1" thickBot="1" x14ac:dyDescent="0.3">
      <c r="A28" s="1"/>
      <c r="B28" s="5"/>
      <c r="C28" s="76" t="s">
        <v>135</v>
      </c>
      <c r="D28" s="17"/>
      <c r="E28" s="102" t="str">
        <f>+IF(Hoja1!K14&gt;=0.5,"Si","No")</f>
        <v>Si</v>
      </c>
      <c r="G28" s="103">
        <f>+Hoja1!K14</f>
        <v>0.7</v>
      </c>
      <c r="I28" s="324" t="s">
        <v>228</v>
      </c>
      <c r="J28" s="325"/>
      <c r="K28" s="325"/>
      <c r="L28" s="325"/>
      <c r="M28" s="326"/>
      <c r="N28" s="32"/>
      <c r="O28" s="32"/>
      <c r="P28" s="7"/>
      <c r="Q28" s="1"/>
    </row>
    <row r="29" spans="1:17" ht="14.25" customHeight="1" thickBot="1" x14ac:dyDescent="0.45">
      <c r="A29" s="1"/>
      <c r="B29" s="5"/>
      <c r="C29" s="75"/>
      <c r="E29" s="82"/>
      <c r="G29" s="21"/>
      <c r="I29" s="332"/>
      <c r="J29" s="332"/>
      <c r="K29" s="332"/>
      <c r="L29" s="332"/>
      <c r="M29" s="332"/>
      <c r="N29" s="34"/>
      <c r="O29" s="34"/>
      <c r="P29" s="7"/>
      <c r="Q29" s="1"/>
    </row>
    <row r="30" spans="1:17" ht="98.25" customHeight="1" thickBot="1" x14ac:dyDescent="0.3">
      <c r="A30" s="1"/>
      <c r="B30" s="5"/>
      <c r="C30" s="77" t="s">
        <v>136</v>
      </c>
      <c r="D30" s="17"/>
      <c r="E30" s="102" t="str">
        <f>+IF(Hoja1!K24&gt;=0.5,"Si","No")</f>
        <v>Si</v>
      </c>
      <c r="G30" s="103">
        <f>+Hoja1!K24</f>
        <v>0.8</v>
      </c>
      <c r="I30" s="324" t="s">
        <v>229</v>
      </c>
      <c r="J30" s="325"/>
      <c r="K30" s="325"/>
      <c r="L30" s="325"/>
      <c r="M30" s="326"/>
      <c r="N30" s="32"/>
      <c r="O30" s="32"/>
      <c r="P30" s="7"/>
      <c r="Q30" s="1"/>
    </row>
    <row r="31" spans="1:17" ht="14.25" customHeight="1" thickBot="1" x14ac:dyDescent="0.45">
      <c r="A31" s="1"/>
      <c r="B31" s="5"/>
      <c r="C31" s="75"/>
      <c r="E31" s="82"/>
      <c r="G31" s="21"/>
      <c r="I31" s="332"/>
      <c r="J31" s="332"/>
      <c r="K31" s="332"/>
      <c r="L31" s="332"/>
      <c r="M31" s="332"/>
      <c r="N31" s="34"/>
      <c r="O31" s="34"/>
      <c r="P31" s="7"/>
      <c r="Q31" s="1"/>
    </row>
    <row r="32" spans="1:17" ht="128.25" customHeight="1" thickBot="1" x14ac:dyDescent="0.3">
      <c r="A32" s="1"/>
      <c r="B32" s="5"/>
      <c r="C32" s="78" t="s">
        <v>87</v>
      </c>
      <c r="D32" s="17"/>
      <c r="E32" s="102" t="str">
        <f>+IF(Hoja1!K29&gt;=0.5,"Si","No")</f>
        <v>Si</v>
      </c>
      <c r="G32" s="103">
        <f>+Hoja1!K29</f>
        <v>0.6428571428571429</v>
      </c>
      <c r="I32" s="324" t="s">
        <v>207</v>
      </c>
      <c r="J32" s="325"/>
      <c r="K32" s="325"/>
      <c r="L32" s="325"/>
      <c r="M32" s="326"/>
      <c r="N32" s="32"/>
      <c r="O32" s="32"/>
      <c r="P32" s="7"/>
      <c r="Q32" s="1"/>
    </row>
    <row r="33" spans="1:17" ht="18" customHeight="1" thickBot="1" x14ac:dyDescent="0.45">
      <c r="A33" s="1"/>
      <c r="B33" s="5"/>
      <c r="C33" s="75"/>
      <c r="E33" s="82"/>
      <c r="G33" s="21"/>
      <c r="I33" s="332"/>
      <c r="J33" s="332"/>
      <c r="K33" s="332"/>
      <c r="L33" s="332"/>
      <c r="M33" s="332"/>
      <c r="N33" s="34"/>
      <c r="O33" s="34"/>
      <c r="P33" s="7"/>
      <c r="Q33" s="1"/>
    </row>
    <row r="34" spans="1:17" ht="99.75" customHeight="1" thickBot="1" x14ac:dyDescent="0.3">
      <c r="A34" s="1"/>
      <c r="B34" s="5"/>
      <c r="C34" s="79" t="s">
        <v>137</v>
      </c>
      <c r="D34" s="17"/>
      <c r="E34" s="81" t="str">
        <f>+IF(Hoja1!K36&gt;=0.5,"Si","No")</f>
        <v>Si</v>
      </c>
      <c r="G34" s="103">
        <f>+Hoja1!K36</f>
        <v>0.65</v>
      </c>
      <c r="I34" s="324" t="s">
        <v>230</v>
      </c>
      <c r="J34" s="325"/>
      <c r="K34" s="325"/>
      <c r="L34" s="325"/>
      <c r="M34" s="326"/>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58"/>
      <c r="E37" s="1"/>
      <c r="F37" s="1"/>
      <c r="G37" s="1"/>
      <c r="H37" s="1"/>
      <c r="I37" s="1"/>
      <c r="J37" s="1"/>
      <c r="K37" s="1"/>
      <c r="L37" s="1"/>
      <c r="M37" s="1"/>
      <c r="N37" s="1"/>
      <c r="O37" s="1"/>
      <c r="P37" s="7"/>
      <c r="Q37" s="1"/>
    </row>
    <row r="38" spans="1:17" ht="15.75" thickBot="1" x14ac:dyDescent="0.3">
      <c r="A38" s="1"/>
      <c r="B38" s="26"/>
      <c r="C38" s="27"/>
      <c r="D38" s="161"/>
      <c r="E38" s="27"/>
      <c r="F38" s="27"/>
      <c r="G38" s="27"/>
      <c r="H38" s="27"/>
      <c r="I38" s="27"/>
      <c r="J38" s="27"/>
      <c r="K38" s="27"/>
      <c r="L38" s="27"/>
      <c r="M38" s="27"/>
      <c r="N38" s="27"/>
      <c r="O38" s="27"/>
      <c r="P38" s="28"/>
      <c r="Q38" s="1"/>
    </row>
    <row r="39" spans="1:17" ht="15.75" thickTop="1" x14ac:dyDescent="0.25">
      <c r="A39" s="1"/>
      <c r="B39" s="1"/>
      <c r="C39" s="1"/>
      <c r="D39" s="158"/>
      <c r="E39" s="1"/>
      <c r="F39" s="1"/>
      <c r="G39" s="1"/>
      <c r="H39" s="1"/>
      <c r="I39" s="1"/>
      <c r="J39" s="1"/>
      <c r="K39" s="1"/>
      <c r="L39" s="1"/>
      <c r="M39" s="1"/>
      <c r="N39" s="1"/>
      <c r="O39" s="1"/>
      <c r="P39" s="1"/>
      <c r="Q39" s="1"/>
    </row>
    <row r="40" spans="1:17" x14ac:dyDescent="0.25">
      <c r="A40" s="1"/>
      <c r="B40" s="1"/>
      <c r="C40" s="1"/>
      <c r="D40" s="158"/>
      <c r="E40" s="1"/>
      <c r="F40" s="1"/>
      <c r="G40" s="1"/>
      <c r="H40" s="1"/>
      <c r="I40" s="1"/>
      <c r="J40" s="1"/>
      <c r="K40" s="1"/>
      <c r="L40" s="1"/>
      <c r="M40" s="1"/>
      <c r="N40" s="1"/>
      <c r="O40" s="1"/>
      <c r="P40" s="1"/>
      <c r="Q40" s="1"/>
    </row>
    <row r="41" spans="1:17" x14ac:dyDescent="0.25">
      <c r="A41" s="1"/>
      <c r="B41" s="1"/>
      <c r="C41" s="1"/>
      <c r="D41" s="158"/>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I34:M34"/>
    <mergeCell ref="I30:M30"/>
    <mergeCell ref="I32:M32"/>
    <mergeCell ref="I24:M24"/>
    <mergeCell ref="I26:M26"/>
    <mergeCell ref="I28:M28"/>
    <mergeCell ref="I25:M25"/>
    <mergeCell ref="I27:M27"/>
    <mergeCell ref="I29:M29"/>
    <mergeCell ref="I31:M31"/>
    <mergeCell ref="I33:M33"/>
    <mergeCell ref="C21:D21"/>
    <mergeCell ref="C22:D22"/>
    <mergeCell ref="E4:E5"/>
    <mergeCell ref="F4:M5"/>
    <mergeCell ref="F6:M6"/>
    <mergeCell ref="I8:K8"/>
    <mergeCell ref="C18:M18"/>
    <mergeCell ref="C20:D20"/>
    <mergeCell ref="F20:M20"/>
    <mergeCell ref="F21:M21"/>
    <mergeCell ref="F22:M22"/>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scale="38" orientation="landscape" r:id="rId1"/>
  <colBreaks count="1" manualBreakCount="1">
    <brk id="13" max="1048575" man="1"/>
  </colBreaks>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'/Users/santiagom/Desktop/C:\Users\dell\Desktop\cesar\HISTORICOS\[2020-04-22_Formato_informe_sci_parametrizado_final.xlsx]Analisis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07" t="s">
        <v>25</v>
      </c>
      <c r="B1" s="107" t="s">
        <v>6</v>
      </c>
      <c r="C1" s="108" t="s">
        <v>8</v>
      </c>
      <c r="D1" s="109" t="s">
        <v>26</v>
      </c>
      <c r="E1" s="109" t="s">
        <v>27</v>
      </c>
      <c r="F1" s="109" t="s">
        <v>138</v>
      </c>
      <c r="G1" s="110" t="s">
        <v>139</v>
      </c>
      <c r="H1" s="110" t="s">
        <v>140</v>
      </c>
      <c r="I1" s="110" t="s">
        <v>119</v>
      </c>
      <c r="J1" s="110" t="s">
        <v>141</v>
      </c>
      <c r="K1" s="110" t="s">
        <v>142</v>
      </c>
    </row>
    <row r="2" spans="1:11" x14ac:dyDescent="0.25">
      <c r="A2" s="111" t="s">
        <v>143</v>
      </c>
      <c r="B2" s="111" t="str">
        <f>+VLOOKUP(A2,'Estado SCI'!$A$16:$C$59,3,0)</f>
        <v>AMBIENTE DE CONTROL</v>
      </c>
      <c r="C2" s="111" t="s">
        <v>33</v>
      </c>
      <c r="D2" s="111" t="s">
        <v>34</v>
      </c>
      <c r="E2" s="111" t="s">
        <v>35</v>
      </c>
      <c r="F2" s="111" t="str">
        <f>+VLOOKUP(A2,'Estado SCI'!$A$16:$I$59,9,0)</f>
        <v>Mantenimiento del control</v>
      </c>
      <c r="G2" s="111">
        <f>+VLOOKUP(A2,'Estado SCI'!$A$16:$L$59,12,0)</f>
        <v>20.123000000000001</v>
      </c>
      <c r="H2" s="111">
        <f t="shared" ref="H2:H45" si="0">+_xlfn.RANK.EQ(G2,$G$2:$G$45,1)</f>
        <v>3</v>
      </c>
      <c r="I2" s="111" t="str">
        <f>+IF(VLOOKUP(A2,'Estado SCI'!$A$16:$G$59,7,0)="","",VLOOKUP(A2,'Estado SCI'!$A$16:$G$59,7,0))</f>
        <v>Si</v>
      </c>
      <c r="J2" s="112">
        <f>+IF(I2="Si",1,IF(I2="En proceso",0.5,0))</f>
        <v>1</v>
      </c>
      <c r="K2" s="113">
        <f t="shared" ref="K2:K45" si="1">+AVERAGEIF($B$2:$B$45,B2,$J$2:$J$45)</f>
        <v>0.875</v>
      </c>
    </row>
    <row r="3" spans="1:11" x14ac:dyDescent="0.25">
      <c r="A3" s="111" t="s">
        <v>144</v>
      </c>
      <c r="B3" s="111" t="s">
        <v>32</v>
      </c>
      <c r="C3" s="111" t="s">
        <v>33</v>
      </c>
      <c r="D3" s="111" t="s">
        <v>37</v>
      </c>
      <c r="E3" s="111" t="s">
        <v>38</v>
      </c>
      <c r="F3" s="111" t="str">
        <f>+VLOOKUP(A3,'Estado SCI'!$A$16:$I$59,9,0)</f>
        <v>Mantenimiento del control</v>
      </c>
      <c r="G3" s="111">
        <f>+VLOOKUP(A3,'Estado SCI'!$A$16:$L$59,12,0)</f>
        <v>20.1234</v>
      </c>
      <c r="H3" s="111">
        <f t="shared" si="0"/>
        <v>4</v>
      </c>
      <c r="I3" s="111" t="str">
        <f>+IF(VLOOKUP(A3,'Estado SCI'!$A$16:$G$59,7,0)="","",VLOOKUP(A3,'Estado SCI'!$A$16:$G$59,7,0))</f>
        <v>Si</v>
      </c>
      <c r="J3" s="112">
        <f t="shared" ref="J3:J45" si="2">+IF(I3="Si",1,IF(I3="En proceso",0.5,0))</f>
        <v>1</v>
      </c>
      <c r="K3" s="113">
        <f t="shared" si="1"/>
        <v>0.875</v>
      </c>
    </row>
    <row r="4" spans="1:11" x14ac:dyDescent="0.25">
      <c r="A4" s="111" t="s">
        <v>145</v>
      </c>
      <c r="B4" s="111" t="s">
        <v>32</v>
      </c>
      <c r="C4" s="111" t="s">
        <v>33</v>
      </c>
      <c r="D4" s="111" t="s">
        <v>40</v>
      </c>
      <c r="E4" s="111" t="s">
        <v>41</v>
      </c>
      <c r="F4" s="111" t="str">
        <f>+VLOOKUP(A4,'Estado SCI'!$A$16:$I$59,9,0)</f>
        <v>Mantenimiento del control</v>
      </c>
      <c r="G4" s="111">
        <f>+VLOOKUP(A4,'Estado SCI'!$A$16:$L$59,12,0)</f>
        <v>20.123449999999998</v>
      </c>
      <c r="H4" s="111">
        <f t="shared" si="0"/>
        <v>5</v>
      </c>
      <c r="I4" s="111" t="str">
        <f>+IF(VLOOKUP(A4,'Estado SCI'!$A$16:$G$59,7,0)="","",VLOOKUP(A4,'Estado SCI'!$A$16:$G$59,7,0))</f>
        <v>Si</v>
      </c>
      <c r="J4" s="112">
        <f t="shared" si="2"/>
        <v>1</v>
      </c>
      <c r="K4" s="113">
        <f t="shared" si="1"/>
        <v>0.875</v>
      </c>
    </row>
    <row r="5" spans="1:11" x14ac:dyDescent="0.25">
      <c r="A5" s="111" t="s">
        <v>146</v>
      </c>
      <c r="B5" s="111" t="s">
        <v>32</v>
      </c>
      <c r="C5" s="111" t="s">
        <v>33</v>
      </c>
      <c r="D5" s="111" t="s">
        <v>42</v>
      </c>
      <c r="E5" s="111" t="s">
        <v>43</v>
      </c>
      <c r="F5" s="111" t="str">
        <f>+VLOOKUP(A5,'Estado SCI'!$A$16:$I$59,9,0)</f>
        <v>Mantenimiento del control</v>
      </c>
      <c r="G5" s="111">
        <f>+VLOOKUP(A5,'Estado SCI'!$A$16:$L$59,12,0)</f>
        <v>20.123456000000001</v>
      </c>
      <c r="H5" s="111">
        <f t="shared" si="0"/>
        <v>6</v>
      </c>
      <c r="I5" s="111" t="str">
        <f>+IF(VLOOKUP(A5,'Estado SCI'!$A$16:$G$59,7,0)="","",VLOOKUP(A5,'Estado SCI'!$A$16:$G$59,7,0))</f>
        <v>Si</v>
      </c>
      <c r="J5" s="112">
        <f t="shared" si="2"/>
        <v>1</v>
      </c>
      <c r="K5" s="113">
        <f t="shared" si="1"/>
        <v>0.875</v>
      </c>
    </row>
    <row r="6" spans="1:11" x14ac:dyDescent="0.25">
      <c r="A6" s="111" t="s">
        <v>147</v>
      </c>
      <c r="B6" s="111" t="s">
        <v>32</v>
      </c>
      <c r="C6" s="111" t="s">
        <v>33</v>
      </c>
      <c r="D6" s="111" t="s">
        <v>44</v>
      </c>
      <c r="E6" s="111" t="s">
        <v>45</v>
      </c>
      <c r="F6" s="111" t="str">
        <f>+VLOOKUP(A6,'Estado SCI'!$A$16:$I$59,9,0)</f>
        <v>Mantenimiento del control</v>
      </c>
      <c r="G6" s="111">
        <f>+VLOOKUP(A6,'Estado SCI'!$A$16:$L$59,12,0)</f>
        <v>20.123456780000001</v>
      </c>
      <c r="H6" s="111">
        <f t="shared" si="0"/>
        <v>7</v>
      </c>
      <c r="I6" s="111" t="str">
        <f>+IF(VLOOKUP(A6,'Estado SCI'!$A$16:$G$59,7,0)="","",VLOOKUP(A6,'Estado SCI'!$A$16:$G$59,7,0))</f>
        <v>Si</v>
      </c>
      <c r="J6" s="112">
        <f t="shared" si="2"/>
        <v>1</v>
      </c>
      <c r="K6" s="113">
        <f t="shared" si="1"/>
        <v>0.875</v>
      </c>
    </row>
    <row r="7" spans="1:11" x14ac:dyDescent="0.25">
      <c r="A7" s="111" t="s">
        <v>148</v>
      </c>
      <c r="B7" s="111" t="s">
        <v>32</v>
      </c>
      <c r="C7" s="111" t="s">
        <v>33</v>
      </c>
      <c r="D7" s="111" t="s">
        <v>46</v>
      </c>
      <c r="E7" s="111" t="s">
        <v>47</v>
      </c>
      <c r="F7" s="111" t="str">
        <f>+VLOOKUP(A7,'Estado SCI'!$A$16:$I$59,9,0)</f>
        <v>Mantenimiento del control</v>
      </c>
      <c r="G7" s="111">
        <f>+VLOOKUP(A7,'Estado SCI'!$A$16:$L$59,12,0)</f>
        <v>20.123456788999999</v>
      </c>
      <c r="H7" s="111">
        <f t="shared" si="0"/>
        <v>8</v>
      </c>
      <c r="I7" s="111" t="str">
        <f>+IF(VLOOKUP(A7,'Estado SCI'!$A$16:$G$59,7,0)="","",VLOOKUP(A7,'Estado SCI'!$A$16:$G$59,7,0))</f>
        <v>Si</v>
      </c>
      <c r="J7" s="112">
        <f t="shared" si="2"/>
        <v>1</v>
      </c>
      <c r="K7" s="113">
        <f t="shared" si="1"/>
        <v>0.875</v>
      </c>
    </row>
    <row r="8" spans="1:11" x14ac:dyDescent="0.25">
      <c r="A8" s="111" t="s">
        <v>149</v>
      </c>
      <c r="B8" s="111" t="s">
        <v>32</v>
      </c>
      <c r="C8" s="111" t="s">
        <v>33</v>
      </c>
      <c r="D8" s="111" t="s">
        <v>48</v>
      </c>
      <c r="E8" s="111" t="s">
        <v>49</v>
      </c>
      <c r="F8" s="111" t="str">
        <f>+VLOOKUP(A8,'Estado SCI'!$A$16:$I$59,9,0)</f>
        <v>Mantenimiento del control</v>
      </c>
      <c r="G8" s="111">
        <f>+VLOOKUP(A8,'Estado SCI'!$A$16:$L$59,12,0)</f>
        <v>20.1234567891</v>
      </c>
      <c r="H8" s="111">
        <f t="shared" si="0"/>
        <v>9</v>
      </c>
      <c r="I8" s="111" t="str">
        <f>+IF(VLOOKUP(A8,'Estado SCI'!$A$16:$G$59,7,0)="","",VLOOKUP(A8,'Estado SCI'!$A$16:$G$59,7,0))</f>
        <v>Si</v>
      </c>
      <c r="J8" s="112">
        <f t="shared" si="2"/>
        <v>1</v>
      </c>
      <c r="K8" s="113">
        <f t="shared" si="1"/>
        <v>0.875</v>
      </c>
    </row>
    <row r="9" spans="1:11" x14ac:dyDescent="0.25">
      <c r="A9" s="111" t="s">
        <v>150</v>
      </c>
      <c r="B9" s="111" t="s">
        <v>32</v>
      </c>
      <c r="C9" s="111" t="s">
        <v>33</v>
      </c>
      <c r="D9" s="111" t="s">
        <v>50</v>
      </c>
      <c r="E9" s="111" t="s">
        <v>51</v>
      </c>
      <c r="F9" s="111" t="str">
        <f>+VLOOKUP(A9,'Estado SCI'!$A$16:$I$59,9,0)</f>
        <v>Mantenimiento del control</v>
      </c>
      <c r="G9" s="111">
        <f>+VLOOKUP(A9,'Estado SCI'!$A$16:$L$59,12,0)</f>
        <v>20.123456789119999</v>
      </c>
      <c r="H9" s="111">
        <f t="shared" si="0"/>
        <v>10</v>
      </c>
      <c r="I9" s="111" t="str">
        <f>+IF(VLOOKUP(A9,'Estado SCI'!$A$16:$G$59,7,0)="","",VLOOKUP(A9,'Estado SCI'!$A$16:$G$59,7,0))</f>
        <v>Si</v>
      </c>
      <c r="J9" s="112">
        <f t="shared" si="2"/>
        <v>1</v>
      </c>
      <c r="K9" s="113">
        <f t="shared" si="1"/>
        <v>0.875</v>
      </c>
    </row>
    <row r="10" spans="1:11" x14ac:dyDescent="0.25">
      <c r="A10" s="111" t="s">
        <v>151</v>
      </c>
      <c r="B10" s="111" t="s">
        <v>32</v>
      </c>
      <c r="C10" s="111" t="s">
        <v>33</v>
      </c>
      <c r="D10" s="111" t="s">
        <v>52</v>
      </c>
      <c r="E10" s="111" t="s">
        <v>53</v>
      </c>
      <c r="F10" s="111" t="str">
        <f>+VLOOKUP(A10,'Estado SCI'!$A$16:$I$59,9,0)</f>
        <v>Deficiencia de control</v>
      </c>
      <c r="G10" s="111">
        <f>+VLOOKUP(A10,'Estado SCI'!$A$16:$L$59,12,0)</f>
        <v>0.123456789123</v>
      </c>
      <c r="H10" s="111">
        <f t="shared" si="0"/>
        <v>1</v>
      </c>
      <c r="I10" s="111" t="str">
        <f>+IF(VLOOKUP(A10,'Estado SCI'!$A$16:$G$59,7,0)="","",VLOOKUP(A10,'Estado SCI'!$A$16:$G$59,7,0))</f>
        <v>No</v>
      </c>
      <c r="J10" s="112">
        <f t="shared" si="2"/>
        <v>0</v>
      </c>
      <c r="K10" s="113">
        <f t="shared" si="1"/>
        <v>0.875</v>
      </c>
    </row>
    <row r="11" spans="1:11" x14ac:dyDescent="0.25">
      <c r="A11" s="111" t="s">
        <v>152</v>
      </c>
      <c r="B11" s="111" t="s">
        <v>32</v>
      </c>
      <c r="C11" s="111" t="s">
        <v>33</v>
      </c>
      <c r="D11" s="111" t="s">
        <v>54</v>
      </c>
      <c r="E11" s="111" t="s">
        <v>55</v>
      </c>
      <c r="F11" s="111" t="str">
        <f>+VLOOKUP(A11,'Estado SCI'!$A$16:$I$59,9,0)</f>
        <v>Oportunidad de mejora</v>
      </c>
      <c r="G11" s="111">
        <f>+VLOOKUP(A11,'Estado SCI'!$A$16:$L$59,12,0)</f>
        <v>10.1234567891234</v>
      </c>
      <c r="H11" s="111">
        <f t="shared" si="0"/>
        <v>2</v>
      </c>
      <c r="I11" s="111" t="str">
        <f>+IF(VLOOKUP(A11,'Estado SCI'!$A$16:$G$59,7,0)="","",VLOOKUP(A11,'Estado SCI'!$A$16:$G$59,7,0))</f>
        <v>En proceso</v>
      </c>
      <c r="J11" s="112">
        <f t="shared" si="2"/>
        <v>0.5</v>
      </c>
      <c r="K11" s="113">
        <f t="shared" si="1"/>
        <v>0.875</v>
      </c>
    </row>
    <row r="12" spans="1:11" x14ac:dyDescent="0.25">
      <c r="A12" s="111" t="s">
        <v>153</v>
      </c>
      <c r="B12" s="111" t="s">
        <v>32</v>
      </c>
      <c r="C12" s="111" t="s">
        <v>33</v>
      </c>
      <c r="D12" s="111" t="s">
        <v>56</v>
      </c>
      <c r="E12" s="111" t="s">
        <v>57</v>
      </c>
      <c r="F12" s="111" t="str">
        <f>+VLOOKUP(A12,'Estado SCI'!$A$16:$I$59,9,0)</f>
        <v>Mantenimiento del control</v>
      </c>
      <c r="G12" s="111">
        <f>+VLOOKUP(A12,'Estado SCI'!$A$16:$L$59,12,0)</f>
        <v>20.123456789123448</v>
      </c>
      <c r="H12" s="111">
        <f t="shared" si="0"/>
        <v>11</v>
      </c>
      <c r="I12" s="111" t="str">
        <f>+IF(VLOOKUP(A12,'Estado SCI'!$A$16:$G$59,7,0)="","",VLOOKUP(A12,'Estado SCI'!$A$16:$G$59,7,0))</f>
        <v>Si</v>
      </c>
      <c r="J12" s="112">
        <f t="shared" si="2"/>
        <v>1</v>
      </c>
      <c r="K12" s="113">
        <f t="shared" si="1"/>
        <v>0.875</v>
      </c>
    </row>
    <row r="13" spans="1:11" x14ac:dyDescent="0.25">
      <c r="A13" s="111" t="s">
        <v>154</v>
      </c>
      <c r="B13" s="111" t="s">
        <v>32</v>
      </c>
      <c r="C13" s="111" t="s">
        <v>33</v>
      </c>
      <c r="D13" s="111" t="s">
        <v>58</v>
      </c>
      <c r="E13" s="111" t="s">
        <v>59</v>
      </c>
      <c r="F13" s="111" t="str">
        <f>+VLOOKUP(A13,'Estado SCI'!$A$16:$I$59,9,0)</f>
        <v>Mantenimiento del control</v>
      </c>
      <c r="G13" s="111">
        <f>+VLOOKUP(A13,'Estado SCI'!$A$16:$L$59,12,0)</f>
        <v>20.123456789123455</v>
      </c>
      <c r="H13" s="111">
        <f t="shared" si="0"/>
        <v>12</v>
      </c>
      <c r="I13" s="111" t="str">
        <f>+IF(VLOOKUP(A13,'Estado SCI'!$A$16:$G$59,7,0)="","",VLOOKUP(A13,'Estado SCI'!$A$16:$G$59,7,0))</f>
        <v>Si</v>
      </c>
      <c r="J13" s="112">
        <f t="shared" si="2"/>
        <v>1</v>
      </c>
      <c r="K13" s="113">
        <f t="shared" si="1"/>
        <v>0.875</v>
      </c>
    </row>
    <row r="14" spans="1:11" ht="15" customHeight="1" x14ac:dyDescent="0.25">
      <c r="A14" s="111" t="s">
        <v>155</v>
      </c>
      <c r="B14" s="111" t="str">
        <f>+VLOOKUP(A14,'Estado SCI'!$A$16:$C$59,3,0)</f>
        <v>EVALUACION DEL RIESGO</v>
      </c>
      <c r="C14" s="111" t="s">
        <v>62</v>
      </c>
      <c r="D14" s="111" t="s">
        <v>34</v>
      </c>
      <c r="E14" s="111" t="s">
        <v>156</v>
      </c>
      <c r="F14" s="111" t="str">
        <f>+VLOOKUP(A14,'Estado SCI'!$A$16:$I$59,9,0)</f>
        <v>Mantenimiento del control</v>
      </c>
      <c r="G14" s="111">
        <f>+VLOOKUP(A14,'Estado SCI'!$A$16:$L$59,12,0)</f>
        <v>40.229999999999997</v>
      </c>
      <c r="H14" s="111">
        <f t="shared" si="0"/>
        <v>19</v>
      </c>
      <c r="I14" s="111" t="str">
        <f>+IF(VLOOKUP(A14,'Estado SCI'!$A$16:$G$59,7,0)="","",VLOOKUP(A14,'Estado SCI'!$A$16:$G$59,7,0))</f>
        <v>Si</v>
      </c>
      <c r="J14" s="112">
        <f t="shared" si="2"/>
        <v>1</v>
      </c>
      <c r="K14" s="113">
        <f t="shared" si="1"/>
        <v>0.7</v>
      </c>
    </row>
    <row r="15" spans="1:11" ht="15" customHeight="1" x14ac:dyDescent="0.25">
      <c r="A15" s="111" t="s">
        <v>157</v>
      </c>
      <c r="B15" s="111" t="s">
        <v>61</v>
      </c>
      <c r="C15" s="111" t="s">
        <v>62</v>
      </c>
      <c r="D15" s="111" t="s">
        <v>37</v>
      </c>
      <c r="E15" s="111" t="s">
        <v>158</v>
      </c>
      <c r="F15" s="111" t="str">
        <f>+VLOOKUP(A15,'Estado SCI'!$A$16:$I$59,9,0)</f>
        <v>Mantenimiento del control</v>
      </c>
      <c r="G15" s="111">
        <f>+VLOOKUP(A15,'Estado SCI'!$A$16:$L$59,12,0)</f>
        <v>40.234000000000002</v>
      </c>
      <c r="H15" s="111">
        <f t="shared" si="0"/>
        <v>20</v>
      </c>
      <c r="I15" s="111" t="str">
        <f>+IF(VLOOKUP(A15,'Estado SCI'!$A$16:$G$59,7,0)="","",VLOOKUP(A15,'Estado SCI'!$A$16:$G$59,7,0))</f>
        <v>Si</v>
      </c>
      <c r="J15" s="112">
        <f t="shared" si="2"/>
        <v>1</v>
      </c>
      <c r="K15" s="113">
        <f t="shared" si="1"/>
        <v>0.7</v>
      </c>
    </row>
    <row r="16" spans="1:11" ht="15" customHeight="1" x14ac:dyDescent="0.25">
      <c r="A16" s="111" t="s">
        <v>159</v>
      </c>
      <c r="B16" s="111" t="s">
        <v>61</v>
      </c>
      <c r="C16" s="111" t="s">
        <v>62</v>
      </c>
      <c r="D16" s="111" t="s">
        <v>40</v>
      </c>
      <c r="E16" s="111" t="s">
        <v>160</v>
      </c>
      <c r="F16" s="111" t="str">
        <f>+VLOOKUP(A16,'Estado SCI'!$A$16:$I$59,9,0)</f>
        <v>Mantenimiento del control</v>
      </c>
      <c r="G16" s="111">
        <f>+VLOOKUP(A16,'Estado SCI'!$A$16:$L$59,12,0)</f>
        <v>40.234499999999997</v>
      </c>
      <c r="H16" s="111">
        <f t="shared" si="0"/>
        <v>21</v>
      </c>
      <c r="I16" s="111" t="str">
        <f>+IF(VLOOKUP(A16,'Estado SCI'!$A$16:$G$59,7,0)="","",VLOOKUP(A16,'Estado SCI'!$A$16:$G$59,7,0))</f>
        <v>Si</v>
      </c>
      <c r="J16" s="112">
        <f t="shared" si="2"/>
        <v>1</v>
      </c>
      <c r="K16" s="113">
        <f t="shared" si="1"/>
        <v>0.7</v>
      </c>
    </row>
    <row r="17" spans="1:11" ht="15.75" customHeight="1" x14ac:dyDescent="0.25">
      <c r="A17" s="111" t="s">
        <v>161</v>
      </c>
      <c r="B17" s="111" t="s">
        <v>61</v>
      </c>
      <c r="C17" s="111" t="s">
        <v>62</v>
      </c>
      <c r="D17" s="111" t="s">
        <v>42</v>
      </c>
      <c r="E17" s="111" t="s">
        <v>66</v>
      </c>
      <c r="F17" s="111" t="str">
        <f>+VLOOKUP(A17,'Estado SCI'!$A$16:$I$59,9,0)</f>
        <v>Mantenimiento del control</v>
      </c>
      <c r="G17" s="111">
        <f>+VLOOKUP(A17,'Estado SCI'!$A$16:$L$59,12,0)</f>
        <v>40.234560000000002</v>
      </c>
      <c r="H17" s="111">
        <f t="shared" si="0"/>
        <v>22</v>
      </c>
      <c r="I17" s="111" t="str">
        <f>+IF(VLOOKUP(A17,'Estado SCI'!$A$16:$G$59,7,0)="","",VLOOKUP(A17,'Estado SCI'!$A$16:$G$59,7,0))</f>
        <v>Si</v>
      </c>
      <c r="J17" s="112">
        <f t="shared" si="2"/>
        <v>1</v>
      </c>
      <c r="K17" s="113">
        <f t="shared" si="1"/>
        <v>0.7</v>
      </c>
    </row>
    <row r="18" spans="1:11" ht="15" customHeight="1" x14ac:dyDescent="0.25">
      <c r="A18" s="111" t="s">
        <v>162</v>
      </c>
      <c r="B18" s="111" t="s">
        <v>61</v>
      </c>
      <c r="C18" s="111" t="s">
        <v>80</v>
      </c>
      <c r="D18" s="111" t="s">
        <v>34</v>
      </c>
      <c r="E18" s="111" t="s">
        <v>69</v>
      </c>
      <c r="F18" s="111" t="str">
        <f>+VLOOKUP(A18,'Estado SCI'!$A$16:$I$59,9,0)</f>
        <v>Oportunidad de mejora</v>
      </c>
      <c r="G18" s="111">
        <f>+VLOOKUP(A18,'Estado SCI'!$A$16:$L$59,12,0)</f>
        <v>30.234566999999998</v>
      </c>
      <c r="H18" s="111">
        <f t="shared" si="0"/>
        <v>13</v>
      </c>
      <c r="I18" s="111" t="str">
        <f>+IF(VLOOKUP(A18,'Estado SCI'!$A$16:$G$59,7,0)="","",VLOOKUP(A18,'Estado SCI'!$A$16:$G$59,7,0))</f>
        <v>En proceso</v>
      </c>
      <c r="J18" s="112">
        <f t="shared" si="2"/>
        <v>0.5</v>
      </c>
      <c r="K18" s="113">
        <f t="shared" si="1"/>
        <v>0.7</v>
      </c>
    </row>
    <row r="19" spans="1:11" ht="15" customHeight="1" x14ac:dyDescent="0.25">
      <c r="A19" s="111" t="s">
        <v>163</v>
      </c>
      <c r="B19" s="111" t="s">
        <v>61</v>
      </c>
      <c r="C19" s="111" t="s">
        <v>80</v>
      </c>
      <c r="D19" s="111" t="s">
        <v>37</v>
      </c>
      <c r="E19" s="111" t="s">
        <v>70</v>
      </c>
      <c r="F19" s="111" t="str">
        <f>+VLOOKUP(A19,'Estado SCI'!$A$16:$I$59,9,0)</f>
        <v>Oportunidad de mejora</v>
      </c>
      <c r="G19" s="111">
        <f>+VLOOKUP(A19,'Estado SCI'!$A$16:$L$59,12,0)</f>
        <v>30.234567800000001</v>
      </c>
      <c r="H19" s="111">
        <f t="shared" si="0"/>
        <v>14</v>
      </c>
      <c r="I19" s="111" t="str">
        <f>+IF(VLOOKUP(A19,'Estado SCI'!$A$16:$G$59,7,0)="","",VLOOKUP(A19,'Estado SCI'!$A$16:$G$59,7,0))</f>
        <v>En proceso</v>
      </c>
      <c r="J19" s="112">
        <f t="shared" si="2"/>
        <v>0.5</v>
      </c>
      <c r="K19" s="113">
        <f t="shared" si="1"/>
        <v>0.7</v>
      </c>
    </row>
    <row r="20" spans="1:11" ht="15" customHeight="1" x14ac:dyDescent="0.25">
      <c r="A20" s="111" t="s">
        <v>164</v>
      </c>
      <c r="B20" s="111" t="s">
        <v>61</v>
      </c>
      <c r="C20" s="111" t="s">
        <v>80</v>
      </c>
      <c r="D20" s="111" t="s">
        <v>40</v>
      </c>
      <c r="E20" s="111" t="s">
        <v>71</v>
      </c>
      <c r="F20" s="111" t="str">
        <f>+VLOOKUP(A20,'Estado SCI'!$A$16:$I$59,9,0)</f>
        <v>Oportunidad de mejora</v>
      </c>
      <c r="G20" s="111">
        <f>+VLOOKUP(A20,'Estado SCI'!$A$16:$L$59,12,0)</f>
        <v>30.234567890000001</v>
      </c>
      <c r="H20" s="111">
        <f t="shared" si="0"/>
        <v>15</v>
      </c>
      <c r="I20" s="111" t="str">
        <f>+IF(VLOOKUP(A20,'Estado SCI'!$A$16:$G$59,7,0)="","",VLOOKUP(A20,'Estado SCI'!$A$16:$G$59,7,0))</f>
        <v>En proceso</v>
      </c>
      <c r="J20" s="112">
        <f t="shared" si="2"/>
        <v>0.5</v>
      </c>
      <c r="K20" s="113">
        <f t="shared" si="1"/>
        <v>0.7</v>
      </c>
    </row>
    <row r="21" spans="1:11" ht="15.75" customHeight="1" x14ac:dyDescent="0.25">
      <c r="A21" s="111" t="s">
        <v>165</v>
      </c>
      <c r="B21" s="111" t="s">
        <v>61</v>
      </c>
      <c r="C21" s="111" t="s">
        <v>80</v>
      </c>
      <c r="D21" s="111" t="s">
        <v>34</v>
      </c>
      <c r="E21" s="111" t="s">
        <v>74</v>
      </c>
      <c r="F21" s="111" t="str">
        <f>+VLOOKUP(A21,'Estado SCI'!$A$16:$I$59,9,0)</f>
        <v>Oportunidad de mejora</v>
      </c>
      <c r="G21" s="111">
        <f>+VLOOKUP(A21,'Estado SCI'!$A$16:$L$59,12,0)</f>
        <v>30.234567891200001</v>
      </c>
      <c r="H21" s="111">
        <f t="shared" si="0"/>
        <v>16</v>
      </c>
      <c r="I21" s="111" t="str">
        <f>+IF(VLOOKUP(A21,'Estado SCI'!$A$16:$G$59,7,0)="","",VLOOKUP(A21,'Estado SCI'!$A$16:$G$59,7,0))</f>
        <v>En proceso</v>
      </c>
      <c r="J21" s="112">
        <f t="shared" si="2"/>
        <v>0.5</v>
      </c>
      <c r="K21" s="113">
        <f t="shared" si="1"/>
        <v>0.7</v>
      </c>
    </row>
    <row r="22" spans="1:11" ht="15" customHeight="1" x14ac:dyDescent="0.25">
      <c r="A22" s="111" t="s">
        <v>166</v>
      </c>
      <c r="B22" s="111" t="s">
        <v>61</v>
      </c>
      <c r="C22" s="111" t="s">
        <v>88</v>
      </c>
      <c r="D22" s="111" t="s">
        <v>37</v>
      </c>
      <c r="E22" s="111" t="s">
        <v>75</v>
      </c>
      <c r="F22" s="111" t="str">
        <f>+VLOOKUP(A22,'Estado SCI'!$A$16:$I$59,9,0)</f>
        <v>Oportunidad de mejora</v>
      </c>
      <c r="G22" s="111">
        <f>+VLOOKUP(A22,'Estado SCI'!$A$16:$L$59,12,0)</f>
        <v>30.23456789123</v>
      </c>
      <c r="H22" s="111">
        <f t="shared" si="0"/>
        <v>17</v>
      </c>
      <c r="I22" s="111" t="str">
        <f>+IF(VLOOKUP(A22,'Estado SCI'!$A$16:$G$59,7,0)="","",VLOOKUP(A22,'Estado SCI'!$A$16:$G$59,7,0))</f>
        <v>En proceso</v>
      </c>
      <c r="J22" s="112">
        <f t="shared" si="2"/>
        <v>0.5</v>
      </c>
      <c r="K22" s="113">
        <f t="shared" si="1"/>
        <v>0.7</v>
      </c>
    </row>
    <row r="23" spans="1:11" ht="15" customHeight="1" x14ac:dyDescent="0.25">
      <c r="A23" s="111" t="s">
        <v>167</v>
      </c>
      <c r="B23" s="111" t="s">
        <v>61</v>
      </c>
      <c r="C23" s="111" t="s">
        <v>88</v>
      </c>
      <c r="D23" s="111" t="s">
        <v>40</v>
      </c>
      <c r="E23" s="111" t="s">
        <v>77</v>
      </c>
      <c r="F23" s="111" t="str">
        <f>+VLOOKUP(A23,'Estado SCI'!$A$16:$I$59,9,0)</f>
        <v>Oportunidad de mejora</v>
      </c>
      <c r="G23" s="111">
        <f>+VLOOKUP(A23,'Estado SCI'!$A$16:$L$59,12,0)</f>
        <v>30.234567891234001</v>
      </c>
      <c r="H23" s="111">
        <f t="shared" si="0"/>
        <v>18</v>
      </c>
      <c r="I23" s="111" t="str">
        <f>+IF(VLOOKUP(A23,'Estado SCI'!$A$16:$G$59,7,0)="","",VLOOKUP(A23,'Estado SCI'!$A$16:$G$59,7,0))</f>
        <v>En proceso</v>
      </c>
      <c r="J23" s="112">
        <f t="shared" si="2"/>
        <v>0.5</v>
      </c>
      <c r="K23" s="113">
        <f t="shared" si="1"/>
        <v>0.7</v>
      </c>
    </row>
    <row r="24" spans="1:11" ht="15" customHeight="1" x14ac:dyDescent="0.25">
      <c r="A24" s="111" t="s">
        <v>168</v>
      </c>
      <c r="B24" s="111" t="str">
        <f>+VLOOKUP(A24,'Estado SCI'!$A$16:$C$59,3,0)</f>
        <v>ACTIVIDADES DE CONTROL</v>
      </c>
      <c r="C24" s="111" t="s">
        <v>88</v>
      </c>
      <c r="D24" s="111" t="s">
        <v>34</v>
      </c>
      <c r="E24" s="111" t="s">
        <v>81</v>
      </c>
      <c r="F24" s="111" t="str">
        <f>+VLOOKUP(A24,'Estado SCI'!$A$16:$I$59,9,0)</f>
        <v>Mantenimiento del control</v>
      </c>
      <c r="G24" s="111">
        <f>+VLOOKUP(A24,'Estado SCI'!$A$16:$L$59,12,0)</f>
        <v>60.31</v>
      </c>
      <c r="H24" s="111">
        <f t="shared" si="0"/>
        <v>25</v>
      </c>
      <c r="I24" s="111" t="str">
        <f>+IF(VLOOKUP(A24,'Estado SCI'!$A$16:$G$59,7,0)="","",VLOOKUP(A24,'Estado SCI'!$A$16:$G$59,7,0))</f>
        <v>Si</v>
      </c>
      <c r="J24" s="112">
        <f t="shared" si="2"/>
        <v>1</v>
      </c>
      <c r="K24" s="113">
        <f t="shared" si="1"/>
        <v>0.8</v>
      </c>
    </row>
    <row r="25" spans="1:11" ht="15" customHeight="1" x14ac:dyDescent="0.25">
      <c r="A25" s="111" t="s">
        <v>169</v>
      </c>
      <c r="B25" s="111" t="s">
        <v>79</v>
      </c>
      <c r="C25" s="111" t="s">
        <v>88</v>
      </c>
      <c r="D25" s="111" t="s">
        <v>37</v>
      </c>
      <c r="E25" s="111" t="s">
        <v>82</v>
      </c>
      <c r="F25" s="111" t="str">
        <f>+VLOOKUP(A25,'Estado SCI'!$A$16:$I$59,9,0)</f>
        <v>Oportunidad de mejora</v>
      </c>
      <c r="G25" s="111">
        <f>+VLOOKUP(A25,'Estado SCI'!$A$16:$L$59,12,0)</f>
        <v>50.323</v>
      </c>
      <c r="H25" s="111">
        <f t="shared" si="0"/>
        <v>23</v>
      </c>
      <c r="I25" s="111" t="str">
        <f>+IF(VLOOKUP(A25,'Estado SCI'!$A$16:$G$59,7,0)="","",VLOOKUP(A25,'Estado SCI'!$A$16:$G$59,7,0))</f>
        <v>En proceso</v>
      </c>
      <c r="J25" s="112">
        <f t="shared" si="2"/>
        <v>0.5</v>
      </c>
      <c r="K25" s="113">
        <f t="shared" si="1"/>
        <v>0.8</v>
      </c>
    </row>
    <row r="26" spans="1:11" ht="15" customHeight="1" x14ac:dyDescent="0.25">
      <c r="A26" s="111" t="s">
        <v>170</v>
      </c>
      <c r="B26" s="111" t="s">
        <v>79</v>
      </c>
      <c r="C26" s="111" t="s">
        <v>88</v>
      </c>
      <c r="D26" s="111" t="s">
        <v>40</v>
      </c>
      <c r="E26" s="111" t="s">
        <v>83</v>
      </c>
      <c r="F26" s="111" t="str">
        <f>+VLOOKUP(A26,'Estado SCI'!$A$16:$I$59,9,0)</f>
        <v>Oportunidad de mejora</v>
      </c>
      <c r="G26" s="111">
        <f>+VLOOKUP(A26,'Estado SCI'!$A$16:$L$59,12,0)</f>
        <v>50.323999999999998</v>
      </c>
      <c r="H26" s="111">
        <f t="shared" si="0"/>
        <v>24</v>
      </c>
      <c r="I26" s="111" t="str">
        <f>+IF(VLOOKUP(A26,'Estado SCI'!$A$16:$G$59,7,0)="","",VLOOKUP(A26,'Estado SCI'!$A$16:$G$59,7,0))</f>
        <v>En proceso</v>
      </c>
      <c r="J26" s="112">
        <f t="shared" si="2"/>
        <v>0.5</v>
      </c>
      <c r="K26" s="113">
        <f t="shared" si="1"/>
        <v>0.8</v>
      </c>
    </row>
    <row r="27" spans="1:11" ht="15.75" customHeight="1" x14ac:dyDescent="0.25">
      <c r="A27" s="111" t="s">
        <v>171</v>
      </c>
      <c r="B27" s="111" t="s">
        <v>79</v>
      </c>
      <c r="C27" s="111" t="s">
        <v>88</v>
      </c>
      <c r="D27" s="111" t="s">
        <v>42</v>
      </c>
      <c r="E27" s="111" t="s">
        <v>84</v>
      </c>
      <c r="F27" s="111" t="str">
        <f>+VLOOKUP(A27,'Estado SCI'!$A$16:$I$59,9,0)</f>
        <v>Mantenimiento del control</v>
      </c>
      <c r="G27" s="111">
        <f>+VLOOKUP(A27,'Estado SCI'!$A$16:$L$59,12,0)</f>
        <v>60.325000000000003</v>
      </c>
      <c r="H27" s="111">
        <f t="shared" si="0"/>
        <v>26</v>
      </c>
      <c r="I27" s="111" t="str">
        <f>+IF(VLOOKUP(A27,'Estado SCI'!$A$16:$G$59,7,0)="","",VLOOKUP(A27,'Estado SCI'!$A$16:$G$59,7,0))</f>
        <v>Si</v>
      </c>
      <c r="J27" s="112">
        <f t="shared" si="2"/>
        <v>1</v>
      </c>
      <c r="K27" s="113">
        <f t="shared" si="1"/>
        <v>0.8</v>
      </c>
    </row>
    <row r="28" spans="1:11" ht="15" customHeight="1" x14ac:dyDescent="0.25">
      <c r="A28" s="111" t="s">
        <v>172</v>
      </c>
      <c r="B28" s="111" t="s">
        <v>79</v>
      </c>
      <c r="C28" s="111" t="s">
        <v>98</v>
      </c>
      <c r="D28" s="111" t="s">
        <v>44</v>
      </c>
      <c r="E28" s="111" t="s">
        <v>85</v>
      </c>
      <c r="F28" s="111" t="str">
        <f>+VLOOKUP(A28,'Estado SCI'!$A$16:$I$59,9,0)</f>
        <v>Mantenimiento del control</v>
      </c>
      <c r="G28" s="111">
        <f>+VLOOKUP(A28,'Estado SCI'!$A$16:$L$59,12,0)</f>
        <v>60.326000000000001</v>
      </c>
      <c r="H28" s="111">
        <f t="shared" si="0"/>
        <v>27</v>
      </c>
      <c r="I28" s="111" t="str">
        <f>+IF(VLOOKUP(A28,'Estado SCI'!$A$16:$G$59,7,0)="","",VLOOKUP(A28,'Estado SCI'!$A$16:$G$59,7,0))</f>
        <v>Si</v>
      </c>
      <c r="J28" s="112">
        <f t="shared" si="2"/>
        <v>1</v>
      </c>
      <c r="K28" s="113">
        <f t="shared" si="1"/>
        <v>0.8</v>
      </c>
    </row>
    <row r="29" spans="1:11" ht="15" customHeight="1" x14ac:dyDescent="0.25">
      <c r="A29" s="111" t="s">
        <v>173</v>
      </c>
      <c r="B29" s="111" t="str">
        <f>+VLOOKUP(A29,'Estado SCI'!$A$16:$C$59,3,0)</f>
        <v>INFORMACION Y COMUNICACIÓN</v>
      </c>
      <c r="C29" s="111" t="s">
        <v>98</v>
      </c>
      <c r="D29" s="111" t="s">
        <v>34</v>
      </c>
      <c r="E29" s="111" t="s">
        <v>89</v>
      </c>
      <c r="F29" s="111" t="str">
        <f>+VLOOKUP(A29,'Estado SCI'!$A$16:$I$59,9,0)</f>
        <v>Mantenimiento del control</v>
      </c>
      <c r="G29" s="111">
        <f>+VLOOKUP(A29,'Estado SCI'!$A$16:$L$59,12,0)</f>
        <v>80.412000000000006</v>
      </c>
      <c r="H29" s="111">
        <f t="shared" si="0"/>
        <v>31</v>
      </c>
      <c r="I29" s="111" t="str">
        <f>+IF(VLOOKUP(A29,'Estado SCI'!$A$16:$G$59,7,0)="","",VLOOKUP(A29,'Estado SCI'!$A$16:$G$59,7,0))</f>
        <v>Si</v>
      </c>
      <c r="J29" s="112">
        <f t="shared" si="2"/>
        <v>1</v>
      </c>
      <c r="K29" s="113">
        <f t="shared" si="1"/>
        <v>0.6428571428571429</v>
      </c>
    </row>
    <row r="30" spans="1:11" ht="15" customHeight="1" x14ac:dyDescent="0.25">
      <c r="A30" s="111" t="s">
        <v>174</v>
      </c>
      <c r="B30" s="111" t="s">
        <v>87</v>
      </c>
      <c r="C30" s="111" t="s">
        <v>98</v>
      </c>
      <c r="D30" s="111" t="s">
        <v>37</v>
      </c>
      <c r="E30" s="111" t="s">
        <v>90</v>
      </c>
      <c r="F30" s="111" t="str">
        <f>+VLOOKUP(A30,'Estado SCI'!$A$16:$I$59,9,0)</f>
        <v>Mantenimiento del control</v>
      </c>
      <c r="G30" s="111">
        <f>+VLOOKUP(A30,'Estado SCI'!$A$16:$L$59,12,0)</f>
        <v>80.412300000000002</v>
      </c>
      <c r="H30" s="111">
        <f t="shared" si="0"/>
        <v>32</v>
      </c>
      <c r="I30" s="111" t="str">
        <f>+IF(VLOOKUP(A30,'Estado SCI'!$A$16:$G$59,7,0)="","",VLOOKUP(A30,'Estado SCI'!$A$16:$G$59,7,0))</f>
        <v>Si</v>
      </c>
      <c r="J30" s="112">
        <f t="shared" si="2"/>
        <v>1</v>
      </c>
      <c r="K30" s="113">
        <f t="shared" si="1"/>
        <v>0.6428571428571429</v>
      </c>
    </row>
    <row r="31" spans="1:11" ht="15.75" customHeight="1" x14ac:dyDescent="0.25">
      <c r="A31" s="111" t="s">
        <v>175</v>
      </c>
      <c r="B31" s="111" t="s">
        <v>87</v>
      </c>
      <c r="C31" s="111" t="s">
        <v>98</v>
      </c>
      <c r="D31" s="111" t="s">
        <v>40</v>
      </c>
      <c r="E31" s="111" t="s">
        <v>91</v>
      </c>
      <c r="F31" s="111" t="str">
        <f>+VLOOKUP(A31,'Estado SCI'!$A$16:$I$59,9,0)</f>
        <v>Oportunidad de mejora</v>
      </c>
      <c r="G31" s="111">
        <f>+VLOOKUP(A31,'Estado SCI'!$A$16:$L$59,12,0)</f>
        <v>70.41234</v>
      </c>
      <c r="H31" s="111">
        <f t="shared" si="0"/>
        <v>30</v>
      </c>
      <c r="I31" s="111" t="str">
        <f>+IF(VLOOKUP(A31,'Estado SCI'!$A$16:$G$59,7,0)="","",VLOOKUP(A31,'Estado SCI'!$A$16:$G$59,7,0))</f>
        <v>En proceso</v>
      </c>
      <c r="J31" s="112">
        <f t="shared" si="2"/>
        <v>0.5</v>
      </c>
      <c r="K31" s="113">
        <f t="shared" si="1"/>
        <v>0.6428571428571429</v>
      </c>
    </row>
    <row r="32" spans="1:11" x14ac:dyDescent="0.25">
      <c r="A32" s="111" t="s">
        <v>176</v>
      </c>
      <c r="B32" s="111" t="s">
        <v>87</v>
      </c>
      <c r="C32" s="111" t="s">
        <v>104</v>
      </c>
      <c r="D32" s="111" t="s">
        <v>42</v>
      </c>
      <c r="E32" s="111" t="s">
        <v>92</v>
      </c>
      <c r="F32" s="111" t="str">
        <f>+VLOOKUP(A32,'Estado SCI'!$A$16:$I$59,9,0)</f>
        <v>Deficiencia de control</v>
      </c>
      <c r="G32" s="111">
        <f>+VLOOKUP(A32,'Estado SCI'!$A$16:$L$59,12,0)</f>
        <v>60.412345000000002</v>
      </c>
      <c r="H32" s="111">
        <f t="shared" si="0"/>
        <v>28</v>
      </c>
      <c r="I32" s="111" t="str">
        <f>+IF(VLOOKUP(A32,'Estado SCI'!$A$16:$G$59,7,0)="","",VLOOKUP(A32,'Estado SCI'!$A$16:$G$59,7,0))</f>
        <v>No</v>
      </c>
      <c r="J32" s="112">
        <f t="shared" si="2"/>
        <v>0</v>
      </c>
      <c r="K32" s="113">
        <f t="shared" si="1"/>
        <v>0.6428571428571429</v>
      </c>
    </row>
    <row r="33" spans="1:11" x14ac:dyDescent="0.25">
      <c r="A33" s="111" t="s">
        <v>177</v>
      </c>
      <c r="B33" s="111" t="s">
        <v>87</v>
      </c>
      <c r="C33" s="111" t="s">
        <v>178</v>
      </c>
      <c r="D33" s="111" t="s">
        <v>44</v>
      </c>
      <c r="E33" s="111" t="s">
        <v>93</v>
      </c>
      <c r="F33" s="111" t="str">
        <f>+VLOOKUP(A33,'Estado SCI'!$A$16:$I$59,9,0)</f>
        <v>Deficiencia de control</v>
      </c>
      <c r="G33" s="111">
        <f>+VLOOKUP(A33,'Estado SCI'!$A$16:$L$59,12,0)</f>
        <v>60.412345600000002</v>
      </c>
      <c r="H33" s="111">
        <f t="shared" si="0"/>
        <v>29</v>
      </c>
      <c r="I33" s="111" t="str">
        <f>+IF(VLOOKUP(A33,'Estado SCI'!$A$16:$G$59,7,0)="","",VLOOKUP(A33,'Estado SCI'!$A$16:$G$59,7,0))</f>
        <v>No</v>
      </c>
      <c r="J33" s="112">
        <f t="shared" si="2"/>
        <v>0</v>
      </c>
      <c r="K33" s="113">
        <f t="shared" si="1"/>
        <v>0.6428571428571429</v>
      </c>
    </row>
    <row r="34" spans="1:11" x14ac:dyDescent="0.25">
      <c r="A34" s="111" t="s">
        <v>179</v>
      </c>
      <c r="B34" s="111" t="s">
        <v>87</v>
      </c>
      <c r="C34" s="111" t="s">
        <v>178</v>
      </c>
      <c r="D34" s="111" t="s">
        <v>46</v>
      </c>
      <c r="E34" s="111" t="s">
        <v>94</v>
      </c>
      <c r="F34" s="111" t="str">
        <f>+VLOOKUP(A34,'Estado SCI'!$A$16:$I$59,9,0)</f>
        <v>Mantenimiento del control</v>
      </c>
      <c r="G34" s="111">
        <f>+VLOOKUP(A34,'Estado SCI'!$A$16:$L$59,12,0)</f>
        <v>80.412345669999993</v>
      </c>
      <c r="H34" s="111">
        <f t="shared" si="0"/>
        <v>33</v>
      </c>
      <c r="I34" s="111" t="str">
        <f>+IF(VLOOKUP(A34,'Estado SCI'!$A$16:$G$59,7,0)="","",VLOOKUP(A34,'Estado SCI'!$A$16:$G$59,7,0))</f>
        <v>Si</v>
      </c>
      <c r="J34" s="112">
        <f t="shared" si="2"/>
        <v>1</v>
      </c>
      <c r="K34" s="113">
        <f t="shared" si="1"/>
        <v>0.6428571428571429</v>
      </c>
    </row>
    <row r="35" spans="1:11" x14ac:dyDescent="0.25">
      <c r="A35" s="111" t="s">
        <v>180</v>
      </c>
      <c r="B35" s="111" t="s">
        <v>87</v>
      </c>
      <c r="C35" s="111" t="s">
        <v>178</v>
      </c>
      <c r="D35" s="111" t="s">
        <v>48</v>
      </c>
      <c r="E35" s="111" t="s">
        <v>95</v>
      </c>
      <c r="F35" s="111" t="str">
        <f>+VLOOKUP(A35,'Estado SCI'!$A$16:$I$59,9,0)</f>
        <v>Mantenimiento del control</v>
      </c>
      <c r="G35" s="111">
        <f>+VLOOKUP(A35,'Estado SCI'!$A$16:$L$59,12,0)</f>
        <v>80.412345677999994</v>
      </c>
      <c r="H35" s="111">
        <f t="shared" si="0"/>
        <v>34</v>
      </c>
      <c r="I35" s="111" t="str">
        <f>+IF(VLOOKUP(A35,'Estado SCI'!$A$16:$G$59,7,0)="","",VLOOKUP(A35,'Estado SCI'!$A$16:$G$59,7,0))</f>
        <v>Si</v>
      </c>
      <c r="J35" s="112">
        <f t="shared" si="2"/>
        <v>1</v>
      </c>
      <c r="K35" s="113">
        <f t="shared" si="1"/>
        <v>0.6428571428571429</v>
      </c>
    </row>
    <row r="36" spans="1:11" x14ac:dyDescent="0.25">
      <c r="A36" s="111" t="s">
        <v>181</v>
      </c>
      <c r="B36" s="111" t="str">
        <f>+VLOOKUP(A36,'Estado SCI'!$A$16:$C$59,3,0)</f>
        <v>ACTIVIDADES DE MONITOREO</v>
      </c>
      <c r="C36" s="111" t="s">
        <v>178</v>
      </c>
      <c r="D36" s="111" t="s">
        <v>34</v>
      </c>
      <c r="E36" s="111" t="s">
        <v>99</v>
      </c>
      <c r="F36" s="111" t="str">
        <f>+VLOOKUP(A36,'Estado SCI'!$A$16:$I$59,9,0)</f>
        <v>Mantenimiento del control</v>
      </c>
      <c r="G36" s="111">
        <f>+VLOOKUP(A36,'Estado SCI'!$A$16:$L$59,12,0)</f>
        <v>120.851</v>
      </c>
      <c r="H36" s="111">
        <f t="shared" si="0"/>
        <v>41</v>
      </c>
      <c r="I36" s="111" t="str">
        <f>+IF(VLOOKUP(A36,'Estado SCI'!$A$16:$G$59,7,0)="","",VLOOKUP(A36,'Estado SCI'!$A$16:$G$59,7,0))</f>
        <v>Si</v>
      </c>
      <c r="J36" s="112">
        <f t="shared" si="2"/>
        <v>1</v>
      </c>
      <c r="K36" s="113">
        <f t="shared" si="1"/>
        <v>0.65</v>
      </c>
    </row>
    <row r="37" spans="1:11" x14ac:dyDescent="0.25">
      <c r="A37" s="111" t="s">
        <v>182</v>
      </c>
      <c r="B37" s="111" t="s">
        <v>97</v>
      </c>
      <c r="C37" s="111" t="s">
        <v>178</v>
      </c>
      <c r="D37" s="111" t="s">
        <v>42</v>
      </c>
      <c r="E37" s="111" t="s">
        <v>100</v>
      </c>
      <c r="F37" s="111" t="str">
        <f>+VLOOKUP(A37,'Estado SCI'!$A$16:$I$59,9,0)</f>
        <v>Mantenimiento del control</v>
      </c>
      <c r="G37" s="111">
        <f>+VLOOKUP(A37,'Estado SCI'!$A$16:$L$59,12,0)</f>
        <v>120.85120000000001</v>
      </c>
      <c r="H37" s="111">
        <f t="shared" si="0"/>
        <v>42</v>
      </c>
      <c r="I37" s="111" t="str">
        <f>+IF(VLOOKUP(A37,'Estado SCI'!$A$16:$G$59,7,0)="","",VLOOKUP(A37,'Estado SCI'!$A$16:$G$59,7,0))</f>
        <v>Si</v>
      </c>
      <c r="J37" s="112">
        <f t="shared" si="2"/>
        <v>1</v>
      </c>
      <c r="K37" s="113">
        <f t="shared" si="1"/>
        <v>0.65</v>
      </c>
    </row>
    <row r="38" spans="1:11" x14ac:dyDescent="0.25">
      <c r="A38" s="111" t="s">
        <v>183</v>
      </c>
      <c r="B38" s="111" t="s">
        <v>97</v>
      </c>
      <c r="C38" s="111" t="s">
        <v>68</v>
      </c>
      <c r="D38" s="111" t="s">
        <v>46</v>
      </c>
      <c r="E38" s="111" t="s">
        <v>101</v>
      </c>
      <c r="F38" s="111" t="str">
        <f>+VLOOKUP(A38,'Estado SCI'!$A$16:$I$59,9,0)</f>
        <v>Mantenimiento del control</v>
      </c>
      <c r="G38" s="111">
        <f>+VLOOKUP(A38,'Estado SCI'!$A$16:$L$59,12,0)</f>
        <v>120.85123</v>
      </c>
      <c r="H38" s="111">
        <f t="shared" si="0"/>
        <v>43</v>
      </c>
      <c r="I38" s="111" t="str">
        <f>+IF(VLOOKUP(A38,'Estado SCI'!$A$16:$G$59,7,0)="","",VLOOKUP(A38,'Estado SCI'!$A$16:$G$59,7,0))</f>
        <v>Si</v>
      </c>
      <c r="J38" s="112">
        <f t="shared" si="2"/>
        <v>1</v>
      </c>
      <c r="K38" s="113">
        <f t="shared" si="1"/>
        <v>0.65</v>
      </c>
    </row>
    <row r="39" spans="1:11" x14ac:dyDescent="0.25">
      <c r="A39" s="111" t="s">
        <v>184</v>
      </c>
      <c r="B39" s="111" t="s">
        <v>97</v>
      </c>
      <c r="C39" s="111" t="s">
        <v>68</v>
      </c>
      <c r="D39" s="111" t="s">
        <v>48</v>
      </c>
      <c r="E39" s="111" t="s">
        <v>102</v>
      </c>
      <c r="F39" s="111" t="str">
        <f>+VLOOKUP(A39,'Estado SCI'!$A$16:$I$59,9,0)</f>
        <v>Mantenimiento del control</v>
      </c>
      <c r="G39" s="111">
        <f>+VLOOKUP(A39,'Estado SCI'!$A$16:$L$59,12,0)</f>
        <v>120.85123400000001</v>
      </c>
      <c r="H39" s="111">
        <f t="shared" si="0"/>
        <v>44</v>
      </c>
      <c r="I39" s="111" t="str">
        <f>+IF(VLOOKUP(A39,'Estado SCI'!$A$16:$G$59,7,0)="","",VLOOKUP(A39,'Estado SCI'!$A$16:$G$59,7,0))</f>
        <v>Si</v>
      </c>
      <c r="J39" s="112">
        <f t="shared" si="2"/>
        <v>1</v>
      </c>
      <c r="K39" s="113">
        <f t="shared" si="1"/>
        <v>0.65</v>
      </c>
    </row>
    <row r="40" spans="1:11" x14ac:dyDescent="0.25">
      <c r="A40" s="111" t="s">
        <v>185</v>
      </c>
      <c r="B40" s="111" t="s">
        <v>97</v>
      </c>
      <c r="C40" s="111" t="s">
        <v>68</v>
      </c>
      <c r="D40" s="111" t="s">
        <v>50</v>
      </c>
      <c r="E40" s="111" t="s">
        <v>105</v>
      </c>
      <c r="F40" s="111" t="str">
        <f>+VLOOKUP(A40,'Estado SCI'!$A$16:$I$59,9,0)</f>
        <v>Deficiencia de control</v>
      </c>
      <c r="G40" s="111">
        <f>+VLOOKUP(A40,'Estado SCI'!$A$16:$L$59,12,0)</f>
        <v>80.851234500000004</v>
      </c>
      <c r="H40" s="111">
        <f t="shared" si="0"/>
        <v>35</v>
      </c>
      <c r="I40" s="111" t="str">
        <f>+IF(VLOOKUP(A40,'Estado SCI'!$A$16:$G$59,7,0)="","",VLOOKUP(A40,'Estado SCI'!$A$16:$G$59,7,0))</f>
        <v>No</v>
      </c>
      <c r="J40" s="112">
        <f t="shared" si="2"/>
        <v>0</v>
      </c>
      <c r="K40" s="113">
        <f t="shared" si="1"/>
        <v>0.65</v>
      </c>
    </row>
    <row r="41" spans="1:11" x14ac:dyDescent="0.25">
      <c r="A41" s="111" t="s">
        <v>186</v>
      </c>
      <c r="B41" s="111" t="s">
        <v>97</v>
      </c>
      <c r="C41" s="111" t="s">
        <v>68</v>
      </c>
      <c r="D41" s="111" t="s">
        <v>34</v>
      </c>
      <c r="E41" s="111" t="s">
        <v>108</v>
      </c>
      <c r="F41" s="111" t="str">
        <f>+VLOOKUP(A41,'Estado SCI'!$A$16:$I$59,9,0)</f>
        <v>Oportunidad de mejora</v>
      </c>
      <c r="G41" s="111">
        <f>+VLOOKUP(A41,'Estado SCI'!$A$16:$L$59,12,0)</f>
        <v>100.85123455999999</v>
      </c>
      <c r="H41" s="111">
        <f t="shared" si="0"/>
        <v>36</v>
      </c>
      <c r="I41" s="111" t="str">
        <f>+IF(VLOOKUP(A41,'Estado SCI'!$A$16:$G$59,7,0)="","",VLOOKUP(A41,'Estado SCI'!$A$16:$G$59,7,0))</f>
        <v>En proceso</v>
      </c>
      <c r="J41" s="112">
        <f t="shared" si="2"/>
        <v>0.5</v>
      </c>
      <c r="K41" s="113">
        <f t="shared" si="1"/>
        <v>0.65</v>
      </c>
    </row>
    <row r="42" spans="1:11" x14ac:dyDescent="0.25">
      <c r="A42" s="111" t="s">
        <v>187</v>
      </c>
      <c r="B42" s="111" t="s">
        <v>97</v>
      </c>
      <c r="C42" s="111" t="s">
        <v>73</v>
      </c>
      <c r="D42" s="111" t="s">
        <v>37</v>
      </c>
      <c r="E42" s="111" t="s">
        <v>109</v>
      </c>
      <c r="F42" s="111" t="str">
        <f>+VLOOKUP(A42,'Estado SCI'!$A$16:$I$59,9,0)</f>
        <v>Oportunidad de mejora</v>
      </c>
      <c r="G42" s="111">
        <f>+VLOOKUP(A42,'Estado SCI'!$A$16:$L$59,12,0)</f>
        <v>100.85123456700001</v>
      </c>
      <c r="H42" s="111">
        <f t="shared" si="0"/>
        <v>37</v>
      </c>
      <c r="I42" s="111" t="str">
        <f>+IF(VLOOKUP(A42,'Estado SCI'!$A$16:$G$59,7,0)="","",VLOOKUP(A42,'Estado SCI'!$A$16:$G$59,7,0))</f>
        <v>En proceso</v>
      </c>
      <c r="J42" s="112">
        <f t="shared" si="2"/>
        <v>0.5</v>
      </c>
      <c r="K42" s="113">
        <f t="shared" si="1"/>
        <v>0.65</v>
      </c>
    </row>
    <row r="43" spans="1:11" x14ac:dyDescent="0.25">
      <c r="A43" s="111" t="s">
        <v>188</v>
      </c>
      <c r="B43" s="111" t="s">
        <v>97</v>
      </c>
      <c r="C43" s="111" t="s">
        <v>73</v>
      </c>
      <c r="D43" s="111" t="s">
        <v>40</v>
      </c>
      <c r="E43" s="111" t="s">
        <v>110</v>
      </c>
      <c r="F43" s="111" t="str">
        <f>+VLOOKUP(A43,'Estado SCI'!$A$16:$I$59,9,0)</f>
        <v>Oportunidad de mejora</v>
      </c>
      <c r="G43" s="111">
        <f>+VLOOKUP(A43,'Estado SCI'!$A$16:$L$59,12,0)</f>
        <v>100.85123456780001</v>
      </c>
      <c r="H43" s="111">
        <f t="shared" si="0"/>
        <v>38</v>
      </c>
      <c r="I43" s="111" t="str">
        <f>+IF(VLOOKUP(A43,'Estado SCI'!$A$16:$G$59,7,0)="","",VLOOKUP(A43,'Estado SCI'!$A$16:$G$59,7,0))</f>
        <v>En proceso</v>
      </c>
      <c r="J43" s="112">
        <f t="shared" si="2"/>
        <v>0.5</v>
      </c>
      <c r="K43" s="113">
        <f t="shared" si="1"/>
        <v>0.65</v>
      </c>
    </row>
    <row r="44" spans="1:11" x14ac:dyDescent="0.25">
      <c r="A44" s="111" t="s">
        <v>189</v>
      </c>
      <c r="B44" s="111" t="s">
        <v>97</v>
      </c>
      <c r="C44" s="111" t="s">
        <v>73</v>
      </c>
      <c r="D44" s="111" t="s">
        <v>42</v>
      </c>
      <c r="E44" s="111" t="s">
        <v>111</v>
      </c>
      <c r="F44" s="111" t="str">
        <f>+VLOOKUP(A44,'Estado SCI'!$A$16:$I$59,9,0)</f>
        <v>Oportunidad de mejora</v>
      </c>
      <c r="G44" s="111">
        <f>+VLOOKUP(A44,'Estado SCI'!$A$16:$L$59,12,0)</f>
        <v>100.85123456789</v>
      </c>
      <c r="H44" s="111">
        <f t="shared" si="0"/>
        <v>39</v>
      </c>
      <c r="I44" s="111" t="str">
        <f>+IF(VLOOKUP(A44,'Estado SCI'!$A$16:$G$59,7,0)="","",VLOOKUP(A44,'Estado SCI'!$A$16:$G$59,7,0))</f>
        <v>En proceso</v>
      </c>
      <c r="J44" s="112">
        <f t="shared" si="2"/>
        <v>0.5</v>
      </c>
      <c r="K44" s="113">
        <f t="shared" si="1"/>
        <v>0.65</v>
      </c>
    </row>
    <row r="45" spans="1:11" x14ac:dyDescent="0.25">
      <c r="A45" s="111" t="s">
        <v>190</v>
      </c>
      <c r="B45" s="111" t="s">
        <v>97</v>
      </c>
      <c r="C45" s="111" t="s">
        <v>73</v>
      </c>
      <c r="D45" s="111" t="s">
        <v>44</v>
      </c>
      <c r="E45" s="111" t="s">
        <v>112</v>
      </c>
      <c r="F45" s="111" t="str">
        <f>+VLOOKUP(A45,'Estado SCI'!$A$16:$I$59,9,0)</f>
        <v>Oportunidad de mejora</v>
      </c>
      <c r="G45" s="111">
        <f>+VLOOKUP(A45,'Estado SCI'!$A$16:$L$59,12,0)</f>
        <v>100.851234567891</v>
      </c>
      <c r="H45" s="111">
        <f t="shared" si="0"/>
        <v>40</v>
      </c>
      <c r="I45" s="111" t="str">
        <f>+IF(VLOOKUP(A45,'Estado SCI'!$A$16:$G$59,7,0)="","",VLOOKUP(A45,'Estado SCI'!$A$16:$G$59,7,0))</f>
        <v>En proceso</v>
      </c>
      <c r="J45" s="112">
        <f t="shared" si="2"/>
        <v>0.5</v>
      </c>
      <c r="K45" s="113">
        <f t="shared" si="1"/>
        <v>0.65</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Instructivo</vt:lpstr>
      <vt:lpstr>Estado SCI</vt:lpstr>
      <vt:lpstr>Análisis Resultados</vt:lpstr>
      <vt:lpstr>Conclusión</vt:lpstr>
      <vt:lpstr>Hoja1</vt:lpstr>
      <vt:lpstr>'Análisis Resultados'!Área_de_impresión</vt:lpstr>
      <vt:lpstr>Conclusión!Área_de_impresión</vt:lpstr>
      <vt:lpstr>'Estado SCI'!Área_de_impresión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Juntas Piso 6</dc:creator>
  <cp:lastModifiedBy>Daniel Londoño</cp:lastModifiedBy>
  <cp:revision/>
  <cp:lastPrinted>2020-09-01T00:56:45Z</cp:lastPrinted>
  <dcterms:created xsi:type="dcterms:W3CDTF">2020-04-28T13:58:09Z</dcterms:created>
  <dcterms:modified xsi:type="dcterms:W3CDTF">2025-09-30T19:36:16Z</dcterms:modified>
</cp:coreProperties>
</file>